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07049759-48BE-4A9B-AD8F-963F73F042C6}" xr6:coauthVersionLast="47" xr6:coauthVersionMax="47" xr10:uidLastSave="{00000000-0000-0000-0000-000000000000}"/>
  <bookViews>
    <workbookView xWindow="-110" yWindow="-110" windowWidth="19420" windowHeight="10300" xr2:uid="{2C963B01-BE3D-413F-A8F7-F892065711AE}"/>
  </bookViews>
  <sheets>
    <sheet name="DC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H36" i="1" s="1"/>
  <c r="C68" i="1"/>
  <c r="C73" i="1"/>
  <c r="G35" i="1"/>
  <c r="H35" i="1"/>
  <c r="I35" i="1"/>
  <c r="J35" i="1"/>
  <c r="K35" i="1"/>
  <c r="C78" i="1"/>
  <c r="K11" i="1"/>
  <c r="K14" i="1"/>
  <c r="K17" i="1"/>
  <c r="K19" i="1"/>
  <c r="K23" i="1"/>
  <c r="J11" i="1"/>
  <c r="J14" i="1"/>
  <c r="J17" i="1"/>
  <c r="J19" i="1"/>
  <c r="J23" i="1"/>
  <c r="I11" i="1"/>
  <c r="I14" i="1"/>
  <c r="I17" i="1"/>
  <c r="I19" i="1"/>
  <c r="I23" i="1"/>
  <c r="H11" i="1"/>
  <c r="H14" i="1"/>
  <c r="H17" i="1"/>
  <c r="H19" i="1"/>
  <c r="H23" i="1"/>
  <c r="G11" i="1"/>
  <c r="G14" i="1"/>
  <c r="G17" i="1"/>
  <c r="G19" i="1"/>
  <c r="G23" i="1"/>
  <c r="E11" i="1"/>
  <c r="E14" i="1"/>
  <c r="E17" i="1"/>
  <c r="E19" i="1"/>
  <c r="E23" i="1"/>
  <c r="D11" i="1"/>
  <c r="D14" i="1"/>
  <c r="D17" i="1"/>
  <c r="D19" i="1"/>
  <c r="D23" i="1"/>
  <c r="C11" i="1"/>
  <c r="C14" i="1"/>
  <c r="C17" i="1"/>
  <c r="C19" i="1"/>
  <c r="C23" i="1"/>
  <c r="F11" i="1"/>
  <c r="F14" i="1"/>
  <c r="F17" i="1"/>
  <c r="F19" i="1"/>
  <c r="F23" i="1"/>
  <c r="F46" i="1"/>
  <c r="I46" i="1"/>
  <c r="F47" i="1"/>
  <c r="I47" i="1"/>
  <c r="G46" i="1"/>
  <c r="G47" i="1"/>
  <c r="K24" i="1"/>
  <c r="K25" i="1"/>
  <c r="F29" i="1"/>
  <c r="G29" i="1"/>
  <c r="H29" i="1"/>
  <c r="I29" i="1"/>
  <c r="J29" i="1"/>
  <c r="K29" i="1"/>
  <c r="K28" i="1"/>
  <c r="F31" i="1"/>
  <c r="G31" i="1"/>
  <c r="H31" i="1"/>
  <c r="I31" i="1"/>
  <c r="J31" i="1"/>
  <c r="K31" i="1"/>
  <c r="K30" i="1"/>
  <c r="K32" i="1"/>
  <c r="J28" i="1"/>
  <c r="J30" i="1"/>
  <c r="J32" i="1"/>
  <c r="K33" i="1"/>
  <c r="K34" i="1"/>
  <c r="J24" i="1"/>
  <c r="J25" i="1"/>
  <c r="I28" i="1"/>
  <c r="I30" i="1"/>
  <c r="I32" i="1"/>
  <c r="J33" i="1"/>
  <c r="J34" i="1"/>
  <c r="I24" i="1"/>
  <c r="I25" i="1"/>
  <c r="H28" i="1"/>
  <c r="H30" i="1"/>
  <c r="H32" i="1"/>
  <c r="I33" i="1"/>
  <c r="I34" i="1"/>
  <c r="H24" i="1"/>
  <c r="H25" i="1"/>
  <c r="G30" i="1"/>
  <c r="G28" i="1"/>
  <c r="G32" i="1"/>
  <c r="H33" i="1"/>
  <c r="H34" i="1"/>
  <c r="G24" i="1"/>
  <c r="G25" i="1"/>
  <c r="F32" i="1"/>
  <c r="G33" i="1"/>
  <c r="G34" i="1"/>
  <c r="F8" i="1"/>
  <c r="G8" i="1"/>
  <c r="C71" i="1"/>
  <c r="C72" i="1"/>
  <c r="G44" i="1"/>
  <c r="G45" i="1"/>
  <c r="G48" i="1"/>
  <c r="G50" i="1"/>
  <c r="C61" i="1"/>
  <c r="C60" i="1"/>
  <c r="F44" i="1"/>
  <c r="I44" i="1"/>
  <c r="F45" i="1"/>
  <c r="I45" i="1"/>
  <c r="F48" i="1"/>
  <c r="I48" i="1"/>
  <c r="I50" i="1"/>
  <c r="D56" i="1"/>
  <c r="F50" i="1"/>
  <c r="E56" i="1"/>
  <c r="F56" i="1"/>
  <c r="G56" i="1"/>
  <c r="C66" i="1"/>
  <c r="H8" i="1"/>
  <c r="I8" i="1"/>
  <c r="J8" i="1"/>
  <c r="K8" i="1"/>
  <c r="E8" i="1"/>
  <c r="D8" i="1"/>
  <c r="C8" i="1"/>
  <c r="C87" i="1"/>
  <c r="E21" i="1"/>
  <c r="E25" i="1"/>
  <c r="E31" i="1"/>
  <c r="D21" i="1"/>
  <c r="D25" i="1"/>
  <c r="D31" i="1"/>
  <c r="C21" i="1"/>
  <c r="C25" i="1"/>
  <c r="C31" i="1"/>
  <c r="C29" i="1"/>
  <c r="E29" i="1"/>
  <c r="D29" i="1"/>
  <c r="I12" i="1"/>
  <c r="H21" i="1"/>
  <c r="H12" i="1"/>
  <c r="J12" i="1"/>
  <c r="G12" i="1"/>
  <c r="K12" i="1"/>
  <c r="D15" i="1"/>
  <c r="C15" i="1"/>
  <c r="E15" i="1"/>
  <c r="F15" i="1"/>
  <c r="J15" i="1"/>
  <c r="J21" i="1"/>
  <c r="H15" i="1"/>
  <c r="K15" i="1"/>
  <c r="K21" i="1"/>
  <c r="I15" i="1"/>
  <c r="I21" i="1"/>
  <c r="G15" i="1"/>
  <c r="G21" i="1"/>
  <c r="F21" i="1"/>
  <c r="C50" i="1"/>
  <c r="C49" i="1"/>
  <c r="F12" i="1"/>
  <c r="E12" i="1"/>
  <c r="D12" i="1"/>
  <c r="C12" i="1"/>
  <c r="F25" i="1"/>
  <c r="C62" i="1"/>
  <c r="G49" i="1"/>
  <c r="I49" i="1"/>
  <c r="F49" i="1"/>
  <c r="C76" i="1"/>
  <c r="I36" i="1" l="1"/>
  <c r="H37" i="1"/>
  <c r="H38" i="1" s="1"/>
  <c r="H39" i="1" s="1"/>
  <c r="G37" i="1"/>
  <c r="G38" i="1" s="1"/>
  <c r="G39" i="1" s="1"/>
  <c r="I38" i="1" l="1"/>
  <c r="I39" i="1" s="1"/>
  <c r="I37" i="1"/>
  <c r="J36" i="1"/>
  <c r="K36" i="1" l="1"/>
  <c r="J37" i="1"/>
  <c r="J38" i="1" s="1"/>
  <c r="J39" i="1" s="1"/>
  <c r="C79" i="1" l="1"/>
  <c r="C80" i="1" s="1"/>
  <c r="C81" i="1" s="1"/>
  <c r="K37" i="1"/>
  <c r="K38" i="1" s="1"/>
  <c r="K39" i="1" s="1"/>
  <c r="C84" i="1" l="1"/>
  <c r="C88" i="1" s="1"/>
  <c r="C90" i="1" s="1"/>
  <c r="C92" i="1" s="1"/>
</calcChain>
</file>

<file path=xl/sharedStrings.xml><?xml version="1.0" encoding="utf-8"?>
<sst xmlns="http://schemas.openxmlformats.org/spreadsheetml/2006/main" count="101" uniqueCount="95">
  <si>
    <t>売上</t>
    <rPh sb="0" eb="2">
      <t>ウリアゲ</t>
    </rPh>
    <phoneticPr fontId="3"/>
  </si>
  <si>
    <t>売上原価</t>
    <rPh sb="0" eb="2">
      <t>ウリアゲ</t>
    </rPh>
    <rPh sb="2" eb="4">
      <t>ゲンカ</t>
    </rPh>
    <phoneticPr fontId="3"/>
  </si>
  <si>
    <t>売上総利益</t>
    <rPh sb="0" eb="2">
      <t>ウリアゲ</t>
    </rPh>
    <rPh sb="2" eb="5">
      <t>ソウリエキ</t>
    </rPh>
    <phoneticPr fontId="3"/>
  </si>
  <si>
    <t>売上総利益率</t>
    <rPh sb="0" eb="2">
      <t>ウリアゲ</t>
    </rPh>
    <rPh sb="2" eb="3">
      <t>ソウ</t>
    </rPh>
    <rPh sb="3" eb="5">
      <t>リエキ</t>
    </rPh>
    <rPh sb="5" eb="6">
      <t>リツ</t>
    </rPh>
    <phoneticPr fontId="3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</si>
  <si>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</si>
  <si>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</si>
  <si>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法人税等</t>
    <rPh sb="0" eb="3">
      <t>ホウジンゼイ</t>
    </rPh>
    <rPh sb="3" eb="4">
      <t>トウ</t>
    </rPh>
    <phoneticPr fontId="3"/>
  </si>
  <si>
    <t>設備投資</t>
    <rPh sb="0" eb="2">
      <t>セツビ</t>
    </rPh>
    <rPh sb="2" eb="4">
      <t>トウシ</t>
    </rPh>
    <phoneticPr fontId="3"/>
  </si>
  <si>
    <t>営業債権</t>
    <rPh sb="0" eb="4">
      <t>エイギョウサイケン</t>
    </rPh>
    <phoneticPr fontId="2"/>
  </si>
  <si>
    <t>営業債務</t>
    <rPh sb="0" eb="4">
      <t>エイギョウサイム</t>
    </rPh>
    <phoneticPr fontId="2"/>
  </si>
  <si>
    <t>運転資本</t>
    <rPh sb="0" eb="1">
      <t>ウンテンシホn</t>
    </rPh>
    <phoneticPr fontId="2"/>
  </si>
  <si>
    <t>運転資本増減</t>
    <rPh sb="0" eb="4">
      <t>ウンテンシホン</t>
    </rPh>
    <rPh sb="4" eb="6">
      <t>ゾウゲン</t>
    </rPh>
    <phoneticPr fontId="3"/>
  </si>
  <si>
    <t>営業利益</t>
    <rPh sb="0" eb="2">
      <t>エイギョウ</t>
    </rPh>
    <rPh sb="2" eb="4">
      <t>リエキ</t>
    </rPh>
    <phoneticPr fontId="3"/>
  </si>
  <si>
    <t>営業利益率</t>
    <rPh sb="0" eb="2">
      <t>エイギョウ</t>
    </rPh>
    <rPh sb="2" eb="4">
      <t>リエキ</t>
    </rPh>
    <rPh sb="4" eb="5">
      <t>リツ</t>
    </rPh>
    <phoneticPr fontId="3"/>
  </si>
  <si>
    <t>支払利息</t>
    <rPh sb="0" eb="2">
      <t>シハライ</t>
    </rPh>
    <rPh sb="2" eb="4">
      <t>リソク</t>
    </rPh>
    <phoneticPr fontId="3"/>
  </si>
  <si>
    <t>ベータの推計</t>
    <rPh sb="4" eb="6">
      <t>スイケイ</t>
    </rPh>
    <phoneticPr fontId="3"/>
  </si>
  <si>
    <t>会社名</t>
    <rPh sb="0" eb="3">
      <t>カイシャメイ</t>
    </rPh>
    <phoneticPr fontId="3"/>
  </si>
  <si>
    <t>レバードベータ (1)</t>
    <phoneticPr fontId="3"/>
  </si>
  <si>
    <t>負債価値 (2)</t>
    <rPh sb="0" eb="2">
      <t>フサイ</t>
    </rPh>
    <rPh sb="2" eb="4">
      <t>カチ</t>
    </rPh>
    <phoneticPr fontId="3"/>
  </si>
  <si>
    <t>時価総額 (3)</t>
    <rPh sb="0" eb="2">
      <t>ジカ</t>
    </rPh>
    <rPh sb="2" eb="4">
      <t>ソウガク</t>
    </rPh>
    <phoneticPr fontId="3"/>
  </si>
  <si>
    <t>税率</t>
    <rPh sb="0" eb="2">
      <t>ゼイリツ</t>
    </rPh>
    <phoneticPr fontId="3"/>
  </si>
  <si>
    <t>中央値</t>
    <rPh sb="0" eb="2">
      <t>チュウオウ</t>
    </rPh>
    <rPh sb="2" eb="3">
      <t>チ</t>
    </rPh>
    <phoneticPr fontId="3"/>
  </si>
  <si>
    <t>平均アンレバードベータ</t>
    <rPh sb="0" eb="2">
      <t>ヘイキン</t>
    </rPh>
    <phoneticPr fontId="3"/>
  </si>
  <si>
    <t>平均D/E</t>
    <rPh sb="0" eb="2">
      <t>ヘイキン</t>
    </rPh>
    <phoneticPr fontId="3"/>
  </si>
  <si>
    <t>リレバードベータ</t>
    <phoneticPr fontId="3"/>
  </si>
  <si>
    <t>対象会社</t>
    <rPh sb="0" eb="2">
      <t>タイショウ</t>
    </rPh>
    <rPh sb="2" eb="4">
      <t>カイシャ</t>
    </rPh>
    <phoneticPr fontId="3"/>
  </si>
  <si>
    <t>加重平均資本コスト</t>
    <rPh sb="0" eb="2">
      <t>カジュウ</t>
    </rPh>
    <rPh sb="2" eb="4">
      <t>ヘイキン</t>
    </rPh>
    <rPh sb="4" eb="6">
      <t>シホン</t>
    </rPh>
    <phoneticPr fontId="3"/>
  </si>
  <si>
    <t>資本構成</t>
    <rPh sb="0" eb="2">
      <t>シホン</t>
    </rPh>
    <rPh sb="2" eb="4">
      <t>コウセイ</t>
    </rPh>
    <phoneticPr fontId="3"/>
  </si>
  <si>
    <t>資本コスト</t>
    <rPh sb="0" eb="2">
      <t>シホン</t>
    </rPh>
    <phoneticPr fontId="3"/>
  </si>
  <si>
    <t>リスクフリーレート (2)</t>
    <phoneticPr fontId="3"/>
  </si>
  <si>
    <t>マーケットリスクプレミアム (3)</t>
    <phoneticPr fontId="3"/>
  </si>
  <si>
    <t>レバードベータ (4)</t>
    <phoneticPr fontId="3"/>
  </si>
  <si>
    <t>サイズリスクプレミアム (5)</t>
    <phoneticPr fontId="3"/>
  </si>
  <si>
    <t>自己資本コスト</t>
    <rPh sb="0" eb="2">
      <t>ジコ</t>
    </rPh>
    <rPh sb="2" eb="4">
      <t>シホン</t>
    </rPh>
    <phoneticPr fontId="3"/>
  </si>
  <si>
    <t>負債コスト</t>
    <rPh sb="0" eb="2">
      <t>フサイ</t>
    </rPh>
    <phoneticPr fontId="3"/>
  </si>
  <si>
    <t>利率</t>
    <rPh sb="0" eb="2">
      <t>リリツ</t>
    </rPh>
    <phoneticPr fontId="3"/>
  </si>
  <si>
    <t>フリーキャッシュフロー</t>
    <phoneticPr fontId="3"/>
  </si>
  <si>
    <t>アンレバードベータ (4)</t>
    <phoneticPr fontId="3"/>
  </si>
  <si>
    <t>自己資本比率</t>
    <rPh sb="0" eb="2">
      <t>ジコ</t>
    </rPh>
    <rPh sb="2" eb="4">
      <t>シホン</t>
    </rPh>
    <rPh sb="4" eb="6">
      <t>ヒリツ</t>
    </rPh>
    <phoneticPr fontId="3"/>
  </si>
  <si>
    <t>負債比率</t>
    <rPh sb="0" eb="2">
      <t>フサイ</t>
    </rPh>
    <rPh sb="2" eb="4">
      <t>ヒリツ</t>
    </rPh>
    <phoneticPr fontId="3"/>
  </si>
  <si>
    <t>D/Eレシオ</t>
    <phoneticPr fontId="3"/>
  </si>
  <si>
    <t>D/Eレシオ</t>
    <phoneticPr fontId="3"/>
  </si>
  <si>
    <t>事業価値</t>
    <rPh sb="0" eb="2">
      <t>ジギョウ</t>
    </rPh>
    <rPh sb="2" eb="4">
      <t>カチ</t>
    </rPh>
    <phoneticPr fontId="3"/>
  </si>
  <si>
    <t>控除: 有利子負債</t>
    <rPh sb="0" eb="2">
      <t>コウジョ</t>
    </rPh>
    <rPh sb="4" eb="5">
      <t>ユウ</t>
    </rPh>
    <rPh sb="5" eb="7">
      <t>リシ</t>
    </rPh>
    <rPh sb="7" eb="9">
      <t>フサイ</t>
    </rPh>
    <phoneticPr fontId="3"/>
  </si>
  <si>
    <t>実績</t>
    <rPh sb="0" eb="2">
      <t>ジッセキ</t>
    </rPh>
    <phoneticPr fontId="3"/>
  </si>
  <si>
    <t>予測</t>
    <rPh sb="0" eb="2">
      <t>ヨソク</t>
    </rPh>
    <phoneticPr fontId="3"/>
  </si>
  <si>
    <t>経常利益</t>
    <rPh sb="0" eb="2">
      <t>ケイジョウ</t>
    </rPh>
    <rPh sb="2" eb="4">
      <t>リエキ</t>
    </rPh>
    <phoneticPr fontId="3"/>
  </si>
  <si>
    <t>当期純利益</t>
    <rPh sb="0" eb="2">
      <t>トウキ</t>
    </rPh>
    <rPh sb="2" eb="5">
      <t>ジュンリエキ</t>
    </rPh>
    <phoneticPr fontId="3"/>
  </si>
  <si>
    <t>株主価値</t>
    <rPh sb="0" eb="2">
      <t>カブヌシ</t>
    </rPh>
    <rPh sb="2" eb="4">
      <t>カチ</t>
    </rPh>
    <phoneticPr fontId="3"/>
  </si>
  <si>
    <t>発行済み株式総数</t>
    <rPh sb="0" eb="2">
      <t>ハッコウ</t>
    </rPh>
    <rPh sb="2" eb="3">
      <t>ズ</t>
    </rPh>
    <rPh sb="4" eb="6">
      <t>カブシキ</t>
    </rPh>
    <rPh sb="6" eb="8">
      <t>ソウスウ</t>
    </rPh>
    <phoneticPr fontId="3"/>
  </si>
  <si>
    <t>永久成長率</t>
    <rPh sb="0" eb="2">
      <t>エイキュウ</t>
    </rPh>
    <rPh sb="2" eb="5">
      <t>セイチョウリツ</t>
    </rPh>
    <phoneticPr fontId="3"/>
  </si>
  <si>
    <t>加重平均資本コスト</t>
    <rPh sb="0" eb="2">
      <t>カジュウ</t>
    </rPh>
    <rPh sb="2" eb="4">
      <t>ヘイキン</t>
    </rPh>
    <rPh sb="4" eb="6">
      <t>シホン</t>
    </rPh>
    <phoneticPr fontId="3"/>
  </si>
  <si>
    <t>割引期間</t>
    <rPh sb="0" eb="2">
      <t>ワリビキ</t>
    </rPh>
    <rPh sb="2" eb="4">
      <t>キカン</t>
    </rPh>
    <phoneticPr fontId="3"/>
  </si>
  <si>
    <t>割引率</t>
    <rPh sb="0" eb="2">
      <t>ワリビキ</t>
    </rPh>
    <rPh sb="2" eb="3">
      <t>リツ</t>
    </rPh>
    <phoneticPr fontId="3"/>
  </si>
  <si>
    <t>フリーキャッシュフローの現在価値</t>
    <rPh sb="12" eb="14">
      <t>ゲンザイ</t>
    </rPh>
    <rPh sb="14" eb="16">
      <t>カチ</t>
    </rPh>
    <phoneticPr fontId="3"/>
  </si>
  <si>
    <t>NOPAT</t>
    <phoneticPr fontId="3"/>
  </si>
  <si>
    <t>EBIT</t>
    <phoneticPr fontId="3"/>
  </si>
  <si>
    <t>EBITに対する税金</t>
    <rPh sb="5" eb="6">
      <t>タイ</t>
    </rPh>
    <rPh sb="8" eb="10">
      <t>ゼイキン</t>
    </rPh>
    <phoneticPr fontId="3"/>
  </si>
  <si>
    <t>最終年度のフリーキャッシュフロー</t>
    <rPh sb="0" eb="4">
      <t>サイシュウネンド</t>
    </rPh>
    <phoneticPr fontId="3"/>
  </si>
  <si>
    <t>ターミナルバリュー</t>
    <phoneticPr fontId="3"/>
  </si>
  <si>
    <t>ターミナルバリューの現在価値</t>
    <rPh sb="10" eb="14">
      <t>ゲンザイカチ</t>
    </rPh>
    <phoneticPr fontId="3"/>
  </si>
  <si>
    <t>DCF評価</t>
    <rPh sb="3" eb="5">
      <t>ヒョウカ</t>
    </rPh>
    <phoneticPr fontId="3"/>
  </si>
  <si>
    <t>平均値</t>
    <rPh sb="0" eb="2">
      <t>ヘイキン</t>
    </rPh>
    <rPh sb="2" eb="3">
      <t>チ</t>
    </rPh>
    <phoneticPr fontId="3"/>
  </si>
  <si>
    <t>税引後利率</t>
    <rPh sb="0" eb="2">
      <t>ゼイビキ</t>
    </rPh>
    <rPh sb="2" eb="3">
      <t>ゴ</t>
    </rPh>
    <rPh sb="3" eb="5">
      <t>リリツ</t>
    </rPh>
    <phoneticPr fontId="3"/>
  </si>
  <si>
    <t>1株当たり価値</t>
    <rPh sb="1" eb="2">
      <t>カブ</t>
    </rPh>
    <rPh sb="2" eb="3">
      <t>ア</t>
    </rPh>
    <rPh sb="5" eb="7">
      <t>カチ</t>
    </rPh>
    <phoneticPr fontId="3"/>
  </si>
  <si>
    <t>追加: 現預金他</t>
    <rPh sb="0" eb="2">
      <t>ツイカ</t>
    </rPh>
    <rPh sb="4" eb="7">
      <t>ゲンヨキン</t>
    </rPh>
    <rPh sb="7" eb="8">
      <t>ホカ</t>
    </rPh>
    <phoneticPr fontId="3"/>
  </si>
  <si>
    <t>税引前当期純利益</t>
    <rPh sb="0" eb="2">
      <t>ゼイビ</t>
    </rPh>
    <rPh sb="2" eb="3">
      <t>マエ</t>
    </rPh>
    <rPh sb="3" eb="8">
      <t>トウキジュンリエキ</t>
    </rPh>
    <phoneticPr fontId="3"/>
  </si>
  <si>
    <t>特別損失</t>
    <rPh sb="0" eb="2">
      <t>トクベツ</t>
    </rPh>
    <rPh sb="2" eb="4">
      <t>ソンシツ</t>
    </rPh>
    <phoneticPr fontId="3"/>
  </si>
  <si>
    <t>営業債権等回転日数</t>
    <rPh sb="0" eb="2">
      <t>エイギョウ</t>
    </rPh>
    <rPh sb="2" eb="4">
      <t>サイケン</t>
    </rPh>
    <rPh sb="4" eb="5">
      <t>トウ</t>
    </rPh>
    <rPh sb="5" eb="7">
      <t>カイテン</t>
    </rPh>
    <rPh sb="7" eb="9">
      <t>ニッスウ</t>
    </rPh>
    <phoneticPr fontId="2"/>
  </si>
  <si>
    <t>営業債務等回転日数</t>
    <rPh sb="4" eb="5">
      <t>トウ</t>
    </rPh>
    <rPh sb="5" eb="7">
      <t>カイテン</t>
    </rPh>
    <rPh sb="7" eb="9">
      <t>ニッスウ</t>
    </rPh>
    <phoneticPr fontId="2"/>
  </si>
  <si>
    <t>非流動性ディスカウント</t>
    <rPh sb="0" eb="4">
      <t>ヒリュウドウセイ</t>
    </rPh>
    <phoneticPr fontId="3"/>
  </si>
  <si>
    <t>入力項目</t>
    <rPh sb="0" eb="2">
      <t>ニュウリョク</t>
    </rPh>
    <rPh sb="2" eb="4">
      <t>コウモク</t>
    </rPh>
    <phoneticPr fontId="3"/>
  </si>
  <si>
    <t>フリーキャッシュフローの計算</t>
    <rPh sb="12" eb="14">
      <t>ケイサン</t>
    </rPh>
    <phoneticPr fontId="3"/>
  </si>
  <si>
    <t>加重平均資本コストの計算</t>
    <rPh sb="0" eb="2">
      <t>カジュウ</t>
    </rPh>
    <rPh sb="2" eb="4">
      <t>ヘイキン</t>
    </rPh>
    <rPh sb="4" eb="6">
      <t>シホン</t>
    </rPh>
    <rPh sb="10" eb="12">
      <t>ケイサン</t>
    </rPh>
    <phoneticPr fontId="3"/>
  </si>
  <si>
    <t>継続価値の計算</t>
    <rPh sb="0" eb="4">
      <t>ケイゾクカチ</t>
    </rPh>
    <rPh sb="5" eb="7">
      <t>ケイサン</t>
    </rPh>
    <phoneticPr fontId="3"/>
  </si>
  <si>
    <t>ディスカウント後1株当たり価値</t>
    <rPh sb="7" eb="8">
      <t>ゴ</t>
    </rPh>
    <rPh sb="9" eb="10">
      <t>カブ</t>
    </rPh>
    <rPh sb="10" eb="11">
      <t>ア</t>
    </rPh>
    <rPh sb="13" eb="15">
      <t>カチ</t>
    </rPh>
    <phoneticPr fontId="3"/>
  </si>
  <si>
    <t>非事業資産</t>
    <rPh sb="0" eb="5">
      <t>ヒジギョウシサン</t>
    </rPh>
    <phoneticPr fontId="3"/>
  </si>
  <si>
    <t>直近決算日</t>
    <rPh sb="0" eb="2">
      <t>チョッキン</t>
    </rPh>
    <rPh sb="2" eb="5">
      <t>ケッサンビ</t>
    </rPh>
    <phoneticPr fontId="3"/>
  </si>
  <si>
    <t>評価基準日</t>
    <rPh sb="0" eb="5">
      <t>ヒョウカキジュンビ</t>
    </rPh>
    <phoneticPr fontId="3"/>
  </si>
  <si>
    <t>期央調整</t>
    <rPh sb="0" eb="4">
      <t>キオウチョウセイ</t>
    </rPh>
    <phoneticPr fontId="3"/>
  </si>
  <si>
    <t>（単位：千円）</t>
    <rPh sb="1" eb="3">
      <t>タンイ</t>
    </rPh>
    <rPh sb="4" eb="6">
      <t>センエン</t>
    </rPh>
    <phoneticPr fontId="3"/>
  </si>
  <si>
    <t>株式会社イノベーション</t>
  </si>
  <si>
    <t>株式会社イード</t>
  </si>
  <si>
    <t>株式会社イトクロ</t>
  </si>
  <si>
    <t>2023年6月末</t>
    <rPh sb="4" eb="5">
      <t>ネン</t>
    </rPh>
    <rPh sb="6" eb="8">
      <t>ガツマツ</t>
    </rPh>
    <phoneticPr fontId="3"/>
  </si>
  <si>
    <t>2023年8月末</t>
    <rPh sb="4" eb="5">
      <t>ネン</t>
    </rPh>
    <rPh sb="6" eb="8">
      <t>ガツマツ</t>
    </rPh>
    <phoneticPr fontId="3"/>
  </si>
  <si>
    <t>(3) 株価 x 発行済株式総数</t>
    <rPh sb="4" eb="6">
      <t>カブカ</t>
    </rPh>
    <rPh sb="9" eb="12">
      <t>ハッコウズ</t>
    </rPh>
    <rPh sb="12" eb="16">
      <t>カブシキソウスウ</t>
    </rPh>
    <phoneticPr fontId="3"/>
  </si>
  <si>
    <t>(4)レバードベータ / (1 + (2)/(3)) x (1-税率))</t>
    <rPh sb="32" eb="34">
      <t>ゼイリツ</t>
    </rPh>
    <phoneticPr fontId="3"/>
  </si>
  <si>
    <t>(1) 情報提供サイト</t>
    <rPh sb="4" eb="6">
      <t>ジョウホウ</t>
    </rPh>
    <rPh sb="6" eb="8">
      <t>テイキョウ</t>
    </rPh>
    <phoneticPr fontId="3"/>
  </si>
  <si>
    <t>株式会社GameWith</t>
  </si>
  <si>
    <t>週次2年</t>
    <rPh sb="0" eb="2">
      <t>シュウジ</t>
    </rPh>
    <rPh sb="3" eb="4">
      <t>ネン</t>
    </rPh>
    <phoneticPr fontId="3"/>
  </si>
  <si>
    <t>リビン・テクノロジーズ株式会社</t>
  </si>
  <si>
    <t>(2) 決算短信</t>
    <rPh sb="4" eb="8">
      <t>ケッサンタンシン</t>
    </rPh>
    <phoneticPr fontId="3"/>
  </si>
  <si>
    <t>2023年6月末（1社は2023年5月末）</t>
    <rPh sb="4" eb="5">
      <t>ネン</t>
    </rPh>
    <rPh sb="6" eb="8">
      <t>ガツマツ</t>
    </rPh>
    <rPh sb="10" eb="11">
      <t>シャ</t>
    </rPh>
    <rPh sb="16" eb="17">
      <t>ネン</t>
    </rPh>
    <rPh sb="18" eb="20">
      <t>ガツマツ</t>
    </rPh>
    <phoneticPr fontId="3"/>
  </si>
  <si>
    <t>実効税率</t>
    <rPh sb="0" eb="2">
      <t>ジッコウ</t>
    </rPh>
    <rPh sb="2" eb="4">
      <t>ゼイリツ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</si>
</sst>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#,##0.0"/>
    <numFmt numFmtId="178" formatCode="#,##0.0;[Red]\-#,##0.0"/>
    <numFmt numFmtId="179" formatCode="yyyy\A"/>
    <numFmt numFmtId="180" formatCode="yyyy\E"/>
    <numFmt numFmtId="181" formatCode="yyyy&quot;A&quot;"/>
  </numFmts>
  <fonts count="17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5"/>
      <color theme="0" tint="-0.499984740745262"/>
      <name val="Century Gothic"/>
      <family val="1"/>
    </font>
    <font>
      <sz val="6"/>
      <name val="游ゴシック"/>
      <family val="2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b/>
      <u/>
      <sz val="9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i/>
      <sz val="9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u/>
      <sz val="9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hair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double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/>
      <bottom/>
      <diagonal/>
    </border>
    <border>
      <left/>
      <right style="hair">
        <color theme="0" tint="-0.249977111117893"/>
      </right>
      <top/>
      <bottom style="hair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hair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/>
      <right style="hair">
        <color theme="0" tint="-0.249977111117893"/>
      </right>
      <top style="hair">
        <color theme="0" tint="-0.249977111117893"/>
      </top>
      <bottom/>
      <diagonal/>
    </border>
    <border>
      <left/>
      <right style="hair">
        <color theme="0" tint="-0.249977111117893"/>
      </right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theme="0" tint="-0.249977111117893"/>
      </left>
      <right/>
      <top/>
      <bottom style="hair">
        <color theme="0" tint="-0.24994659260841701"/>
      </bottom>
      <diagonal/>
    </border>
  </borders>
  <cellStyleXfs count="5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readingOrder="1"/>
    </xf>
    <xf numFmtId="0" fontId="9" fillId="0" borderId="0" xfId="0" applyFont="1" applyAlignment="1">
      <alignment horizontal="left" vertical="center" wrapText="1" readingOrder="1"/>
    </xf>
    <xf numFmtId="0" fontId="8" fillId="0" borderId="2" xfId="0" applyFont="1" applyBorder="1" applyAlignment="1">
      <alignment horizontal="left" vertical="center" wrapText="1" readingOrder="1"/>
    </xf>
    <xf numFmtId="0" fontId="14" fillId="0" borderId="0" xfId="0" applyFont="1">
      <alignment vertical="center"/>
    </xf>
    <xf numFmtId="14" fontId="15" fillId="0" borderId="7" xfId="0" applyNumberFormat="1" applyFont="1" applyBorder="1">
      <alignment vertical="center"/>
    </xf>
    <xf numFmtId="10" fontId="15" fillId="0" borderId="8" xfId="0" applyNumberFormat="1" applyFont="1" applyBorder="1">
      <alignment vertical="center"/>
    </xf>
    <xf numFmtId="3" fontId="9" fillId="0" borderId="0" xfId="0" applyNumberFormat="1" applyFont="1" applyAlignment="1">
      <alignment horizontal="left" vertical="center" readingOrder="1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 wrapText="1" readingOrder="1"/>
    </xf>
    <xf numFmtId="3" fontId="9" fillId="0" borderId="12" xfId="0" applyNumberFormat="1" applyFont="1" applyBorder="1" applyAlignment="1">
      <alignment vertical="center" wrapText="1" readingOrder="1"/>
    </xf>
    <xf numFmtId="3" fontId="9" fillId="0" borderId="0" xfId="0" applyNumberFormat="1" applyFont="1">
      <alignment vertical="center"/>
    </xf>
    <xf numFmtId="3" fontId="9" fillId="0" borderId="12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 readingOrder="1"/>
    </xf>
    <xf numFmtId="38" fontId="9" fillId="0" borderId="12" xfId="2" applyFont="1" applyFill="1" applyBorder="1" applyAlignment="1">
      <alignment vertical="center" wrapText="1" readingOrder="1"/>
    </xf>
    <xf numFmtId="38" fontId="9" fillId="0" borderId="0" xfId="2" applyFont="1" applyAlignment="1">
      <alignment vertical="center" wrapText="1" readingOrder="1"/>
    </xf>
    <xf numFmtId="38" fontId="9" fillId="0" borderId="12" xfId="2" applyFont="1" applyBorder="1" applyAlignment="1">
      <alignment vertical="center" wrapText="1" readingOrder="1"/>
    </xf>
    <xf numFmtId="3" fontId="10" fillId="0" borderId="0" xfId="0" applyNumberFormat="1" applyFont="1">
      <alignment vertical="center"/>
    </xf>
    <xf numFmtId="3" fontId="10" fillId="0" borderId="12" xfId="0" applyNumberFormat="1" applyFont="1" applyBorder="1">
      <alignment vertical="center"/>
    </xf>
    <xf numFmtId="3" fontId="9" fillId="0" borderId="0" xfId="0" applyNumberFormat="1" applyFont="1" applyAlignment="1">
      <alignment horizontal="center" vertical="center" wrapText="1" readingOrder="1"/>
    </xf>
    <xf numFmtId="3" fontId="9" fillId="0" borderId="12" xfId="0" applyNumberFormat="1" applyFont="1" applyBorder="1" applyAlignment="1">
      <alignment horizontal="center" vertical="center" wrapText="1" readingOrder="1"/>
    </xf>
    <xf numFmtId="38" fontId="9" fillId="0" borderId="0" xfId="2" applyFont="1" applyAlignment="1">
      <alignment vertical="center"/>
    </xf>
    <xf numFmtId="38" fontId="9" fillId="0" borderId="12" xfId="2" applyFont="1" applyBorder="1" applyAlignment="1">
      <alignment vertical="center"/>
    </xf>
    <xf numFmtId="176" fontId="11" fillId="0" borderId="0" xfId="0" applyNumberFormat="1" applyFont="1" applyAlignment="1">
      <alignment horizontal="center" vertical="center" wrapText="1" readingOrder="1"/>
    </xf>
    <xf numFmtId="0" fontId="9" fillId="2" borderId="0" xfId="0" applyFont="1" applyFill="1">
      <alignment vertical="center"/>
    </xf>
    <xf numFmtId="38" fontId="9" fillId="2" borderId="0" xfId="2" applyFont="1" applyFill="1" applyAlignment="1">
      <alignment vertical="center"/>
    </xf>
    <xf numFmtId="10" fontId="9" fillId="2" borderId="0" xfId="0" applyNumberFormat="1" applyFont="1" applyFill="1">
      <alignment vertical="center"/>
    </xf>
    <xf numFmtId="0" fontId="16" fillId="2" borderId="0" xfId="4" applyFont="1" applyFill="1">
      <alignment vertical="center"/>
    </xf>
    <xf numFmtId="0" fontId="9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right" vertical="center" wrapText="1" readingOrder="1"/>
    </xf>
    <xf numFmtId="3" fontId="9" fillId="0" borderId="0" xfId="0" applyNumberFormat="1" applyFont="1" applyAlignment="1">
      <alignment horizontal="right" vertical="center" wrapText="1" readingOrder="1"/>
    </xf>
    <xf numFmtId="0" fontId="10" fillId="0" borderId="0" xfId="0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3" fontId="9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176" fontId="10" fillId="0" borderId="11" xfId="0" applyNumberFormat="1" applyFont="1" applyBorder="1" applyAlignment="1">
      <alignment horizontal="left" vertical="center"/>
    </xf>
    <xf numFmtId="3" fontId="9" fillId="0" borderId="11" xfId="0" applyNumberFormat="1" applyFont="1" applyBorder="1" applyAlignment="1">
      <alignment horizontal="left" vertical="center" wrapText="1" readingOrder="1"/>
    </xf>
    <xf numFmtId="3" fontId="9" fillId="0" borderId="11" xfId="0" applyNumberFormat="1" applyFont="1" applyBorder="1" applyAlignment="1">
      <alignment horizontal="right" vertical="center" wrapText="1" readingOrder="1"/>
    </xf>
    <xf numFmtId="10" fontId="9" fillId="0" borderId="12" xfId="0" applyNumberFormat="1" applyFont="1" applyBorder="1" applyAlignment="1">
      <alignment horizontal="right" vertical="center" wrapText="1" readingOrder="1"/>
    </xf>
    <xf numFmtId="176" fontId="9" fillId="0" borderId="11" xfId="0" applyNumberFormat="1" applyFont="1" applyBorder="1" applyAlignment="1">
      <alignment horizontal="left" vertical="center"/>
    </xf>
    <xf numFmtId="176" fontId="16" fillId="0" borderId="11" xfId="4" applyNumberFormat="1" applyFont="1" applyBorder="1" applyAlignment="1">
      <alignment horizontal="left" vertical="center"/>
    </xf>
    <xf numFmtId="176" fontId="9" fillId="0" borderId="13" xfId="0" applyNumberFormat="1" applyFont="1" applyBorder="1" applyAlignment="1">
      <alignment horizontal="right" vertical="center" wrapText="1" readingOrder="1"/>
    </xf>
    <xf numFmtId="176" fontId="9" fillId="0" borderId="12" xfId="0" applyNumberFormat="1" applyFont="1" applyBorder="1" applyAlignment="1">
      <alignment horizontal="right" vertical="center" wrapText="1" readingOrder="1"/>
    </xf>
    <xf numFmtId="176" fontId="10" fillId="0" borderId="11" xfId="0" applyNumberFormat="1" applyFont="1" applyBorder="1" applyAlignment="1">
      <alignment horizontal="right" vertical="center" wrapText="1" readingOrder="1"/>
    </xf>
    <xf numFmtId="176" fontId="13" fillId="0" borderId="10" xfId="1" applyNumberFormat="1" applyFont="1" applyFill="1" applyBorder="1" applyAlignment="1">
      <alignment horizontal="right" vertical="center" wrapText="1" readingOrder="1"/>
    </xf>
    <xf numFmtId="3" fontId="13" fillId="0" borderId="10" xfId="1" applyNumberFormat="1" applyFont="1" applyFill="1" applyBorder="1" applyAlignment="1">
      <alignment horizontal="left" vertical="center" wrapText="1" readingOrder="1"/>
    </xf>
    <xf numFmtId="3" fontId="13" fillId="0" borderId="10" xfId="1" applyNumberFormat="1" applyFont="1" applyFill="1" applyBorder="1" applyAlignment="1">
      <alignment horizontal="right" vertical="center" wrapText="1" readingOrder="1"/>
    </xf>
    <xf numFmtId="3" fontId="9" fillId="0" borderId="10" xfId="0" applyNumberFormat="1" applyFont="1" applyBorder="1" applyAlignment="1">
      <alignment horizontal="right" vertical="center" wrapText="1" readingOrder="1"/>
    </xf>
    <xf numFmtId="3" fontId="10" fillId="0" borderId="0" xfId="0" applyNumberFormat="1" applyFont="1" applyAlignment="1">
      <alignment horizontal="right" vertical="center" wrapText="1" readingOrder="1"/>
    </xf>
    <xf numFmtId="3" fontId="9" fillId="0" borderId="2" xfId="0" applyNumberFormat="1" applyFont="1" applyBorder="1" applyAlignment="1">
      <alignment horizontal="right" vertical="center" wrapText="1" readingOrder="1"/>
    </xf>
    <xf numFmtId="176" fontId="9" fillId="0" borderId="0" xfId="0" applyNumberFormat="1" applyFont="1" applyAlignment="1">
      <alignment horizontal="right" vertical="center" wrapText="1" readingOrder="1"/>
    </xf>
    <xf numFmtId="0" fontId="10" fillId="0" borderId="2" xfId="0" applyFont="1" applyBorder="1">
      <alignment vertical="center"/>
    </xf>
    <xf numFmtId="3" fontId="9" fillId="0" borderId="0" xfId="0" applyNumberFormat="1" applyFont="1" applyAlignment="1">
      <alignment vertical="center" readingOrder="1"/>
    </xf>
    <xf numFmtId="9" fontId="9" fillId="0" borderId="0" xfId="3" applyFont="1" applyFill="1" applyAlignment="1">
      <alignment vertical="center"/>
    </xf>
    <xf numFmtId="0" fontId="9" fillId="3" borderId="0" xfId="0" applyFont="1" applyFill="1" applyAlignment="1">
      <alignment horizontal="left" vertical="center" wrapText="1" readingOrder="1"/>
    </xf>
    <xf numFmtId="0" fontId="9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 indent="1"/>
    </xf>
    <xf numFmtId="176" fontId="10" fillId="3" borderId="0" xfId="0" applyNumberFormat="1" applyFont="1" applyFill="1" applyAlignment="1">
      <alignment vertical="center" wrapText="1" readingOrder="1"/>
    </xf>
    <xf numFmtId="3" fontId="9" fillId="3" borderId="0" xfId="0" applyNumberFormat="1" applyFont="1" applyFill="1" applyAlignment="1">
      <alignment vertical="center" wrapText="1" readingOrder="1"/>
    </xf>
    <xf numFmtId="3" fontId="9" fillId="3" borderId="12" xfId="0" applyNumberFormat="1" applyFont="1" applyFill="1" applyBorder="1" applyAlignment="1">
      <alignment vertical="center" wrapText="1" readingOrder="1"/>
    </xf>
    <xf numFmtId="176" fontId="11" fillId="3" borderId="0" xfId="0" applyNumberFormat="1" applyFont="1" applyFill="1" applyAlignment="1">
      <alignment vertical="center" wrapText="1" readingOrder="1"/>
    </xf>
    <xf numFmtId="176" fontId="11" fillId="3" borderId="12" xfId="0" applyNumberFormat="1" applyFont="1" applyFill="1" applyBorder="1" applyAlignment="1">
      <alignment vertical="center" wrapText="1" readingOrder="1"/>
    </xf>
    <xf numFmtId="178" fontId="11" fillId="3" borderId="12" xfId="2" applyNumberFormat="1" applyFont="1" applyFill="1" applyBorder="1" applyAlignment="1">
      <alignment vertical="center" wrapText="1" readingOrder="1"/>
    </xf>
    <xf numFmtId="3" fontId="9" fillId="3" borderId="0" xfId="0" applyNumberFormat="1" applyFont="1" applyFill="1" applyAlignment="1">
      <alignment horizontal="center" vertical="center" wrapText="1" readingOrder="1"/>
    </xf>
    <xf numFmtId="176" fontId="11" fillId="3" borderId="0" xfId="0" applyNumberFormat="1" applyFont="1" applyFill="1" applyAlignment="1">
      <alignment horizontal="center" vertical="center" wrapText="1" readingOrder="1"/>
    </xf>
    <xf numFmtId="38" fontId="9" fillId="3" borderId="12" xfId="2" applyFont="1" applyFill="1" applyBorder="1" applyAlignment="1">
      <alignment vertical="center" wrapText="1" readingOrder="1"/>
    </xf>
    <xf numFmtId="9" fontId="9" fillId="3" borderId="0" xfId="0" applyNumberFormat="1" applyFont="1" applyFill="1" applyAlignment="1">
      <alignment vertical="center" wrapText="1" readingOrder="1"/>
    </xf>
    <xf numFmtId="0" fontId="10" fillId="4" borderId="0" xfId="0" applyFont="1" applyFill="1" applyAlignment="1">
      <alignment horizontal="left" vertical="center"/>
    </xf>
    <xf numFmtId="3" fontId="10" fillId="4" borderId="0" xfId="0" applyNumberFormat="1" applyFont="1" applyFill="1">
      <alignment vertical="center"/>
    </xf>
    <xf numFmtId="3" fontId="10" fillId="4" borderId="12" xfId="0" applyNumberFormat="1" applyFont="1" applyFill="1" applyBorder="1">
      <alignment vertical="center"/>
    </xf>
    <xf numFmtId="0" fontId="10" fillId="4" borderId="5" xfId="0" applyFont="1" applyFill="1" applyBorder="1" applyAlignment="1">
      <alignment horizontal="left" vertical="center" wrapText="1" readingOrder="1"/>
    </xf>
    <xf numFmtId="3" fontId="10" fillId="4" borderId="5" xfId="0" applyNumberFormat="1" applyFont="1" applyFill="1" applyBorder="1" applyAlignment="1">
      <alignment vertical="center" wrapText="1" readingOrder="1"/>
    </xf>
    <xf numFmtId="3" fontId="10" fillId="4" borderId="15" xfId="0" applyNumberFormat="1" applyFont="1" applyFill="1" applyBorder="1" applyAlignment="1">
      <alignment vertical="center" wrapText="1" readingOrder="1"/>
    </xf>
    <xf numFmtId="3" fontId="10" fillId="4" borderId="5" xfId="0" applyNumberFormat="1" applyFont="1" applyFill="1" applyBorder="1">
      <alignment vertical="center"/>
    </xf>
    <xf numFmtId="3" fontId="10" fillId="4" borderId="15" xfId="0" applyNumberFormat="1" applyFont="1" applyFill="1" applyBorder="1">
      <alignment vertical="center"/>
    </xf>
    <xf numFmtId="0" fontId="10" fillId="4" borderId="6" xfId="0" applyFont="1" applyFill="1" applyBorder="1" applyAlignment="1">
      <alignment horizontal="left" vertical="center" wrapText="1" readingOrder="1"/>
    </xf>
    <xf numFmtId="3" fontId="10" fillId="4" borderId="6" xfId="0" applyNumberFormat="1" applyFont="1" applyFill="1" applyBorder="1" applyAlignment="1">
      <alignment vertical="center" wrapText="1" readingOrder="1"/>
    </xf>
    <xf numFmtId="3" fontId="10" fillId="4" borderId="16" xfId="0" applyNumberFormat="1" applyFont="1" applyFill="1" applyBorder="1" applyAlignment="1">
      <alignment vertical="center" wrapText="1" readingOrder="1"/>
    </xf>
    <xf numFmtId="3" fontId="10" fillId="5" borderId="0" xfId="0" applyNumberFormat="1" applyFont="1" applyFill="1">
      <alignment vertical="center"/>
    </xf>
    <xf numFmtId="3" fontId="10" fillId="5" borderId="12" xfId="0" applyNumberFormat="1" applyFont="1" applyFill="1" applyBorder="1">
      <alignment vertical="center"/>
    </xf>
    <xf numFmtId="3" fontId="10" fillId="5" borderId="5" xfId="0" applyNumberFormat="1" applyFont="1" applyFill="1" applyBorder="1" applyAlignment="1">
      <alignment vertical="center" wrapText="1" readingOrder="1"/>
    </xf>
    <xf numFmtId="3" fontId="10" fillId="5" borderId="15" xfId="0" applyNumberFormat="1" applyFont="1" applyFill="1" applyBorder="1" applyAlignment="1">
      <alignment vertical="center" wrapText="1" readingOrder="1"/>
    </xf>
    <xf numFmtId="3" fontId="10" fillId="5" borderId="5" xfId="0" applyNumberFormat="1" applyFont="1" applyFill="1" applyBorder="1">
      <alignment vertical="center"/>
    </xf>
    <xf numFmtId="3" fontId="10" fillId="5" borderId="15" xfId="0" applyNumberFormat="1" applyFont="1" applyFill="1" applyBorder="1">
      <alignment vertical="center"/>
    </xf>
    <xf numFmtId="3" fontId="10" fillId="5" borderId="6" xfId="0" applyNumberFormat="1" applyFont="1" applyFill="1" applyBorder="1" applyAlignment="1">
      <alignment vertical="center" wrapText="1" readingOrder="1"/>
    </xf>
    <xf numFmtId="3" fontId="10" fillId="5" borderId="16" xfId="0" applyNumberFormat="1" applyFont="1" applyFill="1" applyBorder="1" applyAlignment="1">
      <alignment vertical="center" wrapText="1" readingOrder="1"/>
    </xf>
    <xf numFmtId="176" fontId="11" fillId="6" borderId="0" xfId="0" applyNumberFormat="1" applyFont="1" applyFill="1" applyAlignment="1">
      <alignment vertical="center" wrapText="1" readingOrder="1"/>
    </xf>
    <xf numFmtId="176" fontId="11" fillId="6" borderId="0" xfId="0" applyNumberFormat="1" applyFont="1" applyFill="1">
      <alignment vertical="center"/>
    </xf>
    <xf numFmtId="176" fontId="11" fillId="6" borderId="12" xfId="0" applyNumberFormat="1" applyFont="1" applyFill="1" applyBorder="1">
      <alignment vertical="center"/>
    </xf>
    <xf numFmtId="176" fontId="11" fillId="6" borderId="12" xfId="0" applyNumberFormat="1" applyFont="1" applyFill="1" applyBorder="1" applyAlignment="1">
      <alignment vertical="center" wrapText="1" readingOrder="1"/>
    </xf>
    <xf numFmtId="3" fontId="9" fillId="6" borderId="0" xfId="0" applyNumberFormat="1" applyFont="1" applyFill="1" applyAlignment="1">
      <alignment vertical="center" wrapText="1" readingOrder="1"/>
    </xf>
    <xf numFmtId="38" fontId="9" fillId="6" borderId="0" xfId="2" applyFont="1" applyFill="1" applyAlignment="1">
      <alignment vertical="center" wrapText="1" readingOrder="1"/>
    </xf>
    <xf numFmtId="178" fontId="11" fillId="6" borderId="0" xfId="2" applyNumberFormat="1" applyFont="1" applyFill="1" applyAlignment="1">
      <alignment vertical="center" wrapText="1" readingOrder="1"/>
    </xf>
    <xf numFmtId="3" fontId="9" fillId="6" borderId="12" xfId="0" applyNumberFormat="1" applyFont="1" applyFill="1" applyBorder="1" applyAlignment="1">
      <alignment vertical="center" wrapText="1" readingOrder="1"/>
    </xf>
    <xf numFmtId="176" fontId="9" fillId="6" borderId="0" xfId="0" applyNumberFormat="1" applyFont="1" applyFill="1" applyAlignment="1">
      <alignment vertical="center" wrapText="1" readingOrder="1"/>
    </xf>
    <xf numFmtId="176" fontId="9" fillId="6" borderId="12" xfId="0" applyNumberFormat="1" applyFont="1" applyFill="1" applyBorder="1" applyAlignment="1">
      <alignment vertical="center" wrapText="1" readingOrder="1"/>
    </xf>
    <xf numFmtId="177" fontId="9" fillId="6" borderId="0" xfId="0" applyNumberFormat="1" applyFont="1" applyFill="1" applyAlignment="1">
      <alignment vertical="center" wrapText="1" readingOrder="1"/>
    </xf>
    <xf numFmtId="177" fontId="9" fillId="6" borderId="12" xfId="0" applyNumberFormat="1" applyFont="1" applyFill="1" applyBorder="1" applyAlignment="1">
      <alignment vertical="center" wrapText="1" readingOrder="1"/>
    </xf>
    <xf numFmtId="4" fontId="9" fillId="6" borderId="0" xfId="0" applyNumberFormat="1" applyFont="1" applyFill="1" applyAlignment="1">
      <alignment vertical="center" wrapText="1" readingOrder="1"/>
    </xf>
    <xf numFmtId="0" fontId="10" fillId="4" borderId="9" xfId="0" applyFont="1" applyFill="1" applyBorder="1" applyAlignment="1">
      <alignment horizontal="left" vertical="center"/>
    </xf>
    <xf numFmtId="0" fontId="10" fillId="4" borderId="9" xfId="0" applyFont="1" applyFill="1" applyBorder="1" applyAlignment="1">
      <alignment horizontal="center" vertical="center" wrapText="1"/>
    </xf>
    <xf numFmtId="2" fontId="10" fillId="4" borderId="9" xfId="0" applyNumberFormat="1" applyFont="1" applyFill="1" applyBorder="1">
      <alignment vertical="center"/>
    </xf>
    <xf numFmtId="176" fontId="10" fillId="4" borderId="9" xfId="0" applyNumberFormat="1" applyFont="1" applyFill="1" applyBorder="1">
      <alignment vertical="center"/>
    </xf>
    <xf numFmtId="9" fontId="10" fillId="4" borderId="9" xfId="0" applyNumberFormat="1" applyFont="1" applyFill="1" applyBorder="1">
      <alignment vertical="center"/>
    </xf>
    <xf numFmtId="176" fontId="9" fillId="3" borderId="0" xfId="0" applyNumberFormat="1" applyFont="1" applyFill="1">
      <alignment vertical="center"/>
    </xf>
    <xf numFmtId="2" fontId="9" fillId="3" borderId="0" xfId="0" applyNumberFormat="1" applyFont="1" applyFill="1">
      <alignment vertical="center"/>
    </xf>
    <xf numFmtId="0" fontId="10" fillId="5" borderId="0" xfId="0" applyFont="1" applyFill="1" applyAlignment="1">
      <alignment horizontal="center" vertical="center" wrapText="1"/>
    </xf>
    <xf numFmtId="2" fontId="9" fillId="6" borderId="11" xfId="0" applyNumberFormat="1" applyFont="1" applyFill="1" applyBorder="1" applyAlignment="1">
      <alignment horizontal="right" vertical="center"/>
    </xf>
    <xf numFmtId="0" fontId="10" fillId="3" borderId="0" xfId="0" applyFont="1" applyFill="1" applyAlignment="1">
      <alignment horizontal="left" vertical="center"/>
    </xf>
    <xf numFmtId="0" fontId="9" fillId="3" borderId="12" xfId="0" applyFont="1" applyFill="1" applyBorder="1" applyAlignment="1">
      <alignment horizontal="right" vertical="center"/>
    </xf>
    <xf numFmtId="176" fontId="9" fillId="3" borderId="12" xfId="0" applyNumberFormat="1" applyFont="1" applyFill="1" applyBorder="1" applyAlignment="1">
      <alignment horizontal="right" vertical="center"/>
    </xf>
    <xf numFmtId="176" fontId="9" fillId="3" borderId="12" xfId="0" applyNumberFormat="1" applyFont="1" applyFill="1" applyBorder="1" applyAlignment="1">
      <alignment horizontal="right" vertical="center" wrapText="1" readingOrder="1"/>
    </xf>
    <xf numFmtId="0" fontId="9" fillId="3" borderId="9" xfId="0" applyFont="1" applyFill="1" applyBorder="1" applyAlignment="1">
      <alignment horizontal="left" vertical="center"/>
    </xf>
    <xf numFmtId="4" fontId="9" fillId="3" borderId="12" xfId="0" applyNumberFormat="1" applyFont="1" applyFill="1" applyBorder="1" applyAlignment="1">
      <alignment horizontal="right" vertical="center" wrapText="1" readingOrder="1"/>
    </xf>
    <xf numFmtId="9" fontId="9" fillId="3" borderId="12" xfId="0" applyNumberFormat="1" applyFont="1" applyFill="1" applyBorder="1" applyAlignment="1">
      <alignment horizontal="right" vertical="center"/>
    </xf>
    <xf numFmtId="10" fontId="9" fillId="3" borderId="13" xfId="0" applyNumberFormat="1" applyFont="1" applyFill="1" applyBorder="1" applyAlignment="1">
      <alignment horizontal="right" vertical="center" wrapText="1" readingOrder="1"/>
    </xf>
    <xf numFmtId="0" fontId="10" fillId="4" borderId="11" xfId="0" applyFont="1" applyFill="1" applyBorder="1" applyAlignment="1">
      <alignment horizontal="left" vertical="center"/>
    </xf>
    <xf numFmtId="176" fontId="10" fillId="4" borderId="14" xfId="0" applyNumberFormat="1" applyFont="1" applyFill="1" applyBorder="1" applyAlignment="1">
      <alignment horizontal="right" vertical="center"/>
    </xf>
    <xf numFmtId="176" fontId="10" fillId="4" borderId="14" xfId="0" applyNumberFormat="1" applyFont="1" applyFill="1" applyBorder="1" applyAlignment="1">
      <alignment horizontal="right" vertical="center" wrapText="1" readingOrder="1"/>
    </xf>
    <xf numFmtId="0" fontId="13" fillId="5" borderId="10" xfId="1" applyFont="1" applyFill="1" applyBorder="1" applyAlignment="1">
      <alignment horizontal="left" vertical="center"/>
    </xf>
    <xf numFmtId="176" fontId="13" fillId="5" borderId="17" xfId="1" applyNumberFormat="1" applyFont="1" applyFill="1" applyBorder="1" applyAlignment="1">
      <alignment horizontal="right" vertical="center" wrapText="1" readingOrder="1"/>
    </xf>
    <xf numFmtId="179" fontId="4" fillId="7" borderId="0" xfId="0" applyNumberFormat="1" applyFont="1" applyFill="1" applyAlignment="1">
      <alignment horizontal="center" vertical="center" wrapText="1" readingOrder="1"/>
    </xf>
    <xf numFmtId="181" fontId="4" fillId="7" borderId="12" xfId="0" applyNumberFormat="1" applyFont="1" applyFill="1" applyBorder="1" applyAlignment="1">
      <alignment horizontal="center" vertical="center" wrapText="1" readingOrder="1"/>
    </xf>
    <xf numFmtId="180" fontId="4" fillId="8" borderId="0" xfId="0" applyNumberFormat="1" applyFont="1" applyFill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3" fontId="9" fillId="3" borderId="0" xfId="0" applyNumberFormat="1" applyFont="1" applyFill="1" applyAlignment="1">
      <alignment horizontal="right" vertical="center" wrapText="1" readingOrder="1"/>
    </xf>
    <xf numFmtId="177" fontId="9" fillId="3" borderId="0" xfId="0" applyNumberFormat="1" applyFont="1" applyFill="1" applyAlignment="1">
      <alignment horizontal="right" vertical="center" wrapText="1" readingOrder="1"/>
    </xf>
    <xf numFmtId="4" fontId="9" fillId="3" borderId="0" xfId="0" applyNumberFormat="1" applyFont="1" applyFill="1" applyAlignment="1">
      <alignment horizontal="right" vertical="center" wrapText="1" readingOrder="1"/>
    </xf>
    <xf numFmtId="0" fontId="10" fillId="4" borderId="5" xfId="0" applyFont="1" applyFill="1" applyBorder="1" applyAlignment="1">
      <alignment horizontal="left" vertical="center"/>
    </xf>
    <xf numFmtId="3" fontId="10" fillId="4" borderId="5" xfId="0" applyNumberFormat="1" applyFont="1" applyFill="1" applyBorder="1" applyAlignment="1">
      <alignment horizontal="right" vertical="center" wrapText="1" readingOrder="1"/>
    </xf>
    <xf numFmtId="0" fontId="10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vertical="center" wrapText="1"/>
    </xf>
    <xf numFmtId="0" fontId="9" fillId="6" borderId="11" xfId="0" applyFont="1" applyFill="1" applyBorder="1" applyAlignment="1">
      <alignment horizontal="left" vertical="center"/>
    </xf>
    <xf numFmtId="0" fontId="9" fillId="6" borderId="11" xfId="0" applyFont="1" applyFill="1" applyBorder="1">
      <alignment vertical="center"/>
    </xf>
    <xf numFmtId="176" fontId="9" fillId="6" borderId="11" xfId="0" applyNumberFormat="1" applyFont="1" applyFill="1" applyBorder="1" applyAlignment="1">
      <alignment horizontal="right" vertical="center"/>
    </xf>
    <xf numFmtId="10" fontId="9" fillId="6" borderId="11" xfId="0" applyNumberFormat="1" applyFont="1" applyFill="1" applyBorder="1" applyAlignment="1">
      <alignment horizontal="right" vertical="center"/>
    </xf>
    <xf numFmtId="2" fontId="10" fillId="4" borderId="11" xfId="0" applyNumberFormat="1" applyFont="1" applyFill="1" applyBorder="1">
      <alignment vertical="center"/>
    </xf>
    <xf numFmtId="176" fontId="10" fillId="4" borderId="11" xfId="0" applyNumberFormat="1" applyFont="1" applyFill="1" applyBorder="1">
      <alignment vertical="center"/>
    </xf>
    <xf numFmtId="9" fontId="10" fillId="4" borderId="11" xfId="0" applyNumberFormat="1" applyFont="1" applyFill="1" applyBorder="1">
      <alignment vertical="center"/>
    </xf>
    <xf numFmtId="0" fontId="4" fillId="7" borderId="19" xfId="0" applyFont="1" applyFill="1" applyBorder="1" applyAlignment="1">
      <alignment horizontal="left" vertical="center" wrapText="1" readingOrder="1"/>
    </xf>
    <xf numFmtId="0" fontId="4" fillId="7" borderId="18" xfId="0" applyFont="1" applyFill="1" applyBorder="1" applyAlignment="1">
      <alignment horizontal="left" vertical="center" wrapText="1" readingOrder="1"/>
    </xf>
    <xf numFmtId="0" fontId="4" fillId="8" borderId="20" xfId="0" applyFont="1" applyFill="1" applyBorder="1" applyAlignment="1">
      <alignment horizontal="left" vertical="center"/>
    </xf>
    <xf numFmtId="0" fontId="4" fillId="8" borderId="19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10" fillId="3" borderId="0" xfId="0" applyFont="1" applyFill="1">
      <alignment vertical="center"/>
    </xf>
    <xf numFmtId="3" fontId="10" fillId="3" borderId="0" xfId="0" applyNumberFormat="1" applyFont="1" applyFill="1">
      <alignment vertical="center"/>
    </xf>
    <xf numFmtId="0" fontId="9" fillId="3" borderId="0" xfId="0" applyFont="1" applyFill="1" applyAlignment="1">
      <alignment horizontal="left" vertical="center" wrapText="1" indent="1" readingOrder="1"/>
    </xf>
    <xf numFmtId="0" fontId="9" fillId="3" borderId="0" xfId="0" applyFont="1" applyFill="1">
      <alignment vertical="center"/>
    </xf>
    <xf numFmtId="3" fontId="9" fillId="3" borderId="0" xfId="0" applyNumberFormat="1" applyFont="1" applyFill="1">
      <alignment vertical="center"/>
    </xf>
    <xf numFmtId="0" fontId="10" fillId="5" borderId="5" xfId="0" applyFont="1" applyFill="1" applyBorder="1" applyAlignment="1">
      <alignment horizontal="left" vertical="center"/>
    </xf>
    <xf numFmtId="3" fontId="10" fillId="5" borderId="5" xfId="0" applyNumberFormat="1" applyFont="1" applyFill="1" applyBorder="1" applyAlignment="1">
      <alignment horizontal="right" vertical="center" wrapText="1" readingOrder="1"/>
    </xf>
  </cellXfs>
  <cellStyles count="5">
    <cellStyle name="パーセント" xfId="3" builtinId="5"/>
    <cellStyle name="ハイパーリンク" xfId="4" builtinId="8"/>
    <cellStyle name="桁区切り" xfId="2" builtinId="6"/>
    <cellStyle name="集計" xfId="1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26CE-4E61-477F-8104-AA2297AB7D3F}">
  <dimension ref="A1:K92"/>
  <sheetViews>
    <sheetView tabSelected="1" zoomScaleNormal="100" workbookViewId="0"/>
  </sheetViews>
  <sheetFormatPr defaultRowHeight="18" x14ac:dyDescent="0.55000000000000004"/>
  <cols>
    <col min="1" max="1" width="8.6640625" style="11"/>
    <col min="2" max="2" width="26.58203125" style="11" customWidth="1"/>
    <col min="3" max="11" width="9.58203125" style="11" customWidth="1"/>
    <col min="12" max="16384" width="8.6640625" style="11"/>
  </cols>
  <sheetData>
    <row r="1" spans="2:11" ht="24" x14ac:dyDescent="0.55000000000000004">
      <c r="B1" s="1" t="s">
        <v>71</v>
      </c>
    </row>
    <row r="2" spans="2:11" x14ac:dyDescent="0.55000000000000004">
      <c r="B2" s="132" t="s">
        <v>78</v>
      </c>
      <c r="C2" s="12">
        <v>45107</v>
      </c>
    </row>
    <row r="3" spans="2:11" x14ac:dyDescent="0.55000000000000004">
      <c r="B3" s="132" t="s">
        <v>77</v>
      </c>
      <c r="C3" s="12">
        <v>44926</v>
      </c>
    </row>
    <row r="4" spans="2:11" ht="18.5" thickBot="1" x14ac:dyDescent="0.6">
      <c r="B4" s="133" t="s">
        <v>94</v>
      </c>
      <c r="C4" s="13">
        <v>0.33579999999999999</v>
      </c>
    </row>
    <row r="5" spans="2:11" x14ac:dyDescent="0.55000000000000004">
      <c r="B5" s="2"/>
      <c r="C5" s="2"/>
      <c r="D5" s="14"/>
      <c r="E5" s="2"/>
      <c r="F5" s="2"/>
      <c r="G5" s="2"/>
      <c r="H5" s="2"/>
      <c r="I5" s="2"/>
      <c r="J5" s="2"/>
      <c r="K5" s="2"/>
    </row>
    <row r="6" spans="2:11" ht="24" x14ac:dyDescent="0.55000000000000004">
      <c r="B6" s="1" t="s">
        <v>72</v>
      </c>
      <c r="C6" s="15"/>
      <c r="D6" s="15"/>
      <c r="E6" s="15"/>
      <c r="F6" s="15"/>
      <c r="G6" s="15"/>
      <c r="H6" s="15"/>
      <c r="I6" s="15"/>
      <c r="J6" s="2"/>
      <c r="K6" s="16" t="s">
        <v>80</v>
      </c>
    </row>
    <row r="7" spans="2:11" x14ac:dyDescent="0.55000000000000004">
      <c r="B7" s="2"/>
      <c r="C7" s="148" t="s">
        <v>44</v>
      </c>
      <c r="D7" s="148"/>
      <c r="E7" s="148"/>
      <c r="F7" s="149"/>
      <c r="G7" s="150" t="s">
        <v>45</v>
      </c>
      <c r="H7" s="151"/>
      <c r="I7" s="151"/>
      <c r="J7" s="152"/>
      <c r="K7" s="153"/>
    </row>
    <row r="8" spans="2:11" x14ac:dyDescent="0.55000000000000004">
      <c r="B8" s="2"/>
      <c r="C8" s="129">
        <f>EOMONTH(D8,-12)</f>
        <v>43830</v>
      </c>
      <c r="D8" s="129">
        <f>EOMONTH(E8,-12)</f>
        <v>44196</v>
      </c>
      <c r="E8" s="129">
        <f>EOMONTH(F8,-12)</f>
        <v>44561</v>
      </c>
      <c r="F8" s="130">
        <f>C3</f>
        <v>44926</v>
      </c>
      <c r="G8" s="131">
        <f>EOMONTH(F8,12)</f>
        <v>45291</v>
      </c>
      <c r="H8" s="131">
        <f>EOMONTH(G8,12)</f>
        <v>45657</v>
      </c>
      <c r="I8" s="131">
        <f t="shared" ref="I8:K8" si="0">EOMONTH(H8,12)</f>
        <v>46022</v>
      </c>
      <c r="J8" s="131">
        <f t="shared" si="0"/>
        <v>46387</v>
      </c>
      <c r="K8" s="131">
        <f t="shared" si="0"/>
        <v>46752</v>
      </c>
    </row>
    <row r="9" spans="2:11" x14ac:dyDescent="0.55000000000000004">
      <c r="B9" s="62" t="s">
        <v>0</v>
      </c>
      <c r="C9" s="17"/>
      <c r="D9" s="17"/>
      <c r="E9" s="17"/>
      <c r="F9" s="18">
        <v>600000</v>
      </c>
      <c r="G9" s="17">
        <v>700000</v>
      </c>
      <c r="H9" s="17">
        <v>850000</v>
      </c>
      <c r="I9" s="17">
        <v>1000000</v>
      </c>
      <c r="J9" s="17">
        <v>1200000</v>
      </c>
      <c r="K9" s="18">
        <v>1500000</v>
      </c>
    </row>
    <row r="10" spans="2:11" x14ac:dyDescent="0.55000000000000004">
      <c r="B10" s="63" t="s">
        <v>1</v>
      </c>
      <c r="C10" s="19"/>
      <c r="D10" s="19"/>
      <c r="E10" s="19"/>
      <c r="F10" s="20">
        <v>270000</v>
      </c>
      <c r="G10" s="19">
        <v>310000</v>
      </c>
      <c r="H10" s="19">
        <v>380000</v>
      </c>
      <c r="I10" s="19">
        <v>450000</v>
      </c>
      <c r="J10" s="19">
        <v>540000</v>
      </c>
      <c r="K10" s="20">
        <v>670000</v>
      </c>
    </row>
    <row r="11" spans="2:11" x14ac:dyDescent="0.55000000000000004">
      <c r="B11" s="75" t="s">
        <v>2</v>
      </c>
      <c r="C11" s="76">
        <f>C9-C10</f>
        <v>0</v>
      </c>
      <c r="D11" s="76">
        <f t="shared" ref="D11:K11" si="1">D9-D10</f>
        <v>0</v>
      </c>
      <c r="E11" s="76">
        <f t="shared" si="1"/>
        <v>0</v>
      </c>
      <c r="F11" s="77">
        <f t="shared" si="1"/>
        <v>330000</v>
      </c>
      <c r="G11" s="86">
        <f t="shared" si="1"/>
        <v>390000</v>
      </c>
      <c r="H11" s="86">
        <f t="shared" si="1"/>
        <v>470000</v>
      </c>
      <c r="I11" s="86">
        <f t="shared" si="1"/>
        <v>550000</v>
      </c>
      <c r="J11" s="86">
        <f t="shared" si="1"/>
        <v>660000</v>
      </c>
      <c r="K11" s="87">
        <f t="shared" si="1"/>
        <v>830000</v>
      </c>
    </row>
    <row r="12" spans="2:11" x14ac:dyDescent="0.55000000000000004">
      <c r="B12" s="64" t="s">
        <v>3</v>
      </c>
      <c r="C12" s="68" t="e">
        <f>C11/C9</f>
        <v>#DIV/0!</v>
      </c>
      <c r="D12" s="68" t="e">
        <f>D11/D9</f>
        <v>#DIV/0!</v>
      </c>
      <c r="E12" s="68" t="e">
        <f>E11/E9</f>
        <v>#DIV/0!</v>
      </c>
      <c r="F12" s="69">
        <f>F11/F9</f>
        <v>0.55000000000000004</v>
      </c>
      <c r="G12" s="94">
        <f t="shared" ref="G12:K12" si="2">G11/G9</f>
        <v>0.55714285714285716</v>
      </c>
      <c r="H12" s="95">
        <f t="shared" si="2"/>
        <v>0.55294117647058827</v>
      </c>
      <c r="I12" s="95">
        <f t="shared" si="2"/>
        <v>0.55000000000000004</v>
      </c>
      <c r="J12" s="95">
        <f t="shared" si="2"/>
        <v>0.55000000000000004</v>
      </c>
      <c r="K12" s="96">
        <f t="shared" si="2"/>
        <v>0.55333333333333334</v>
      </c>
    </row>
    <row r="13" spans="2:11" x14ac:dyDescent="0.55000000000000004">
      <c r="B13" s="63" t="s">
        <v>4</v>
      </c>
      <c r="C13" s="17"/>
      <c r="D13" s="17"/>
      <c r="E13" s="17"/>
      <c r="F13" s="18">
        <v>315500</v>
      </c>
      <c r="G13" s="17">
        <v>350000</v>
      </c>
      <c r="H13" s="17">
        <v>400000</v>
      </c>
      <c r="I13" s="17">
        <v>450000</v>
      </c>
      <c r="J13" s="17">
        <v>540000</v>
      </c>
      <c r="K13" s="18">
        <v>680000</v>
      </c>
    </row>
    <row r="14" spans="2:11" x14ac:dyDescent="0.55000000000000004">
      <c r="B14" s="78" t="s">
        <v>12</v>
      </c>
      <c r="C14" s="79">
        <f t="shared" ref="C14:K14" si="3">C11-C13</f>
        <v>0</v>
      </c>
      <c r="D14" s="79">
        <f t="shared" si="3"/>
        <v>0</v>
      </c>
      <c r="E14" s="79">
        <f t="shared" si="3"/>
        <v>0</v>
      </c>
      <c r="F14" s="80">
        <f t="shared" si="3"/>
        <v>14500</v>
      </c>
      <c r="G14" s="88">
        <f t="shared" si="3"/>
        <v>40000</v>
      </c>
      <c r="H14" s="88">
        <f t="shared" si="3"/>
        <v>70000</v>
      </c>
      <c r="I14" s="88">
        <f t="shared" si="3"/>
        <v>100000</v>
      </c>
      <c r="J14" s="88">
        <f t="shared" si="3"/>
        <v>120000</v>
      </c>
      <c r="K14" s="89">
        <f t="shared" si="3"/>
        <v>150000</v>
      </c>
    </row>
    <row r="15" spans="2:11" x14ac:dyDescent="0.55000000000000004">
      <c r="B15" s="64" t="s">
        <v>13</v>
      </c>
      <c r="C15" s="68" t="e">
        <f t="shared" ref="C15:K15" si="4">C14/C9</f>
        <v>#DIV/0!</v>
      </c>
      <c r="D15" s="68" t="e">
        <f t="shared" si="4"/>
        <v>#DIV/0!</v>
      </c>
      <c r="E15" s="68" t="e">
        <f t="shared" si="4"/>
        <v>#DIV/0!</v>
      </c>
      <c r="F15" s="69">
        <f t="shared" si="4"/>
        <v>2.4166666666666666E-2</v>
      </c>
      <c r="G15" s="94">
        <f t="shared" si="4"/>
        <v>5.7142857142857141E-2</v>
      </c>
      <c r="H15" s="94">
        <f t="shared" si="4"/>
        <v>8.2352941176470587E-2</v>
      </c>
      <c r="I15" s="94">
        <f t="shared" si="4"/>
        <v>0.1</v>
      </c>
      <c r="J15" s="94">
        <f t="shared" si="4"/>
        <v>0.1</v>
      </c>
      <c r="K15" s="97">
        <f t="shared" si="4"/>
        <v>0.1</v>
      </c>
    </row>
    <row r="16" spans="2:11" x14ac:dyDescent="0.55000000000000004">
      <c r="B16" s="63" t="s">
        <v>14</v>
      </c>
      <c r="C16" s="21"/>
      <c r="D16" s="21"/>
      <c r="E16" s="21"/>
      <c r="F16" s="22">
        <v>1050</v>
      </c>
      <c r="G16" s="23">
        <v>910</v>
      </c>
      <c r="H16" s="23">
        <v>770</v>
      </c>
      <c r="I16" s="23">
        <v>630</v>
      </c>
      <c r="J16" s="23">
        <v>490</v>
      </c>
      <c r="K16" s="24">
        <v>350</v>
      </c>
    </row>
    <row r="17" spans="2:11" x14ac:dyDescent="0.55000000000000004">
      <c r="B17" s="78" t="s">
        <v>46</v>
      </c>
      <c r="C17" s="81">
        <f t="shared" ref="C17:K17" si="5">C14-C16</f>
        <v>0</v>
      </c>
      <c r="D17" s="81">
        <f t="shared" si="5"/>
        <v>0</v>
      </c>
      <c r="E17" s="81">
        <f t="shared" si="5"/>
        <v>0</v>
      </c>
      <c r="F17" s="82">
        <f t="shared" si="5"/>
        <v>13450</v>
      </c>
      <c r="G17" s="90">
        <f t="shared" si="5"/>
        <v>39090</v>
      </c>
      <c r="H17" s="90">
        <f t="shared" si="5"/>
        <v>69230</v>
      </c>
      <c r="I17" s="90">
        <f t="shared" si="5"/>
        <v>99370</v>
      </c>
      <c r="J17" s="90">
        <f t="shared" si="5"/>
        <v>119510</v>
      </c>
      <c r="K17" s="91">
        <f t="shared" si="5"/>
        <v>149650</v>
      </c>
    </row>
    <row r="18" spans="2:11" x14ac:dyDescent="0.55000000000000004">
      <c r="B18" s="63" t="s">
        <v>67</v>
      </c>
      <c r="C18" s="25"/>
      <c r="D18" s="25"/>
      <c r="E18" s="25"/>
      <c r="F18" s="20">
        <v>2450</v>
      </c>
      <c r="G18" s="25"/>
      <c r="H18" s="25"/>
      <c r="I18" s="25"/>
      <c r="J18" s="25"/>
      <c r="K18" s="26"/>
    </row>
    <row r="19" spans="2:11" x14ac:dyDescent="0.55000000000000004">
      <c r="B19" s="78" t="s">
        <v>66</v>
      </c>
      <c r="C19" s="82">
        <f t="shared" ref="C19:E19" si="6">C17-C18</f>
        <v>0</v>
      </c>
      <c r="D19" s="82">
        <f t="shared" si="6"/>
        <v>0</v>
      </c>
      <c r="E19" s="82">
        <f t="shared" si="6"/>
        <v>0</v>
      </c>
      <c r="F19" s="82">
        <f>F17-F18</f>
        <v>11000</v>
      </c>
      <c r="G19" s="90">
        <f t="shared" ref="G19:K19" si="7">G17-G18</f>
        <v>39090</v>
      </c>
      <c r="H19" s="90">
        <f t="shared" si="7"/>
        <v>69230</v>
      </c>
      <c r="I19" s="90">
        <f t="shared" si="7"/>
        <v>99370</v>
      </c>
      <c r="J19" s="90">
        <f t="shared" si="7"/>
        <v>119510</v>
      </c>
      <c r="K19" s="91">
        <f t="shared" si="7"/>
        <v>149650</v>
      </c>
    </row>
    <row r="20" spans="2:11" x14ac:dyDescent="0.55000000000000004">
      <c r="B20" s="62" t="s">
        <v>6</v>
      </c>
      <c r="C20" s="27"/>
      <c r="D20" s="27"/>
      <c r="E20" s="27"/>
      <c r="F20" s="18">
        <v>3000</v>
      </c>
      <c r="G20" s="28"/>
      <c r="H20" s="28"/>
      <c r="I20" s="28"/>
      <c r="J20" s="28"/>
      <c r="K20" s="28"/>
    </row>
    <row r="21" spans="2:11" x14ac:dyDescent="0.55000000000000004">
      <c r="B21" s="78" t="s">
        <v>47</v>
      </c>
      <c r="C21" s="81">
        <f t="shared" ref="C21:E21" si="8">C19-C20</f>
        <v>0</v>
      </c>
      <c r="D21" s="81">
        <f t="shared" si="8"/>
        <v>0</v>
      </c>
      <c r="E21" s="81">
        <f t="shared" si="8"/>
        <v>0</v>
      </c>
      <c r="F21" s="82">
        <f>F19-F20</f>
        <v>8000</v>
      </c>
      <c r="G21" s="90">
        <f t="shared" ref="G21:K21" si="9">G19-G20</f>
        <v>39090</v>
      </c>
      <c r="H21" s="90">
        <f t="shared" si="9"/>
        <v>69230</v>
      </c>
      <c r="I21" s="90">
        <f t="shared" si="9"/>
        <v>99370</v>
      </c>
      <c r="J21" s="90">
        <f t="shared" si="9"/>
        <v>119510</v>
      </c>
      <c r="K21" s="90">
        <f t="shared" si="9"/>
        <v>149650</v>
      </c>
    </row>
    <row r="23" spans="2:11" x14ac:dyDescent="0.55000000000000004">
      <c r="B23" s="78" t="s">
        <v>56</v>
      </c>
      <c r="C23" s="79">
        <f t="shared" ref="C23:E23" si="10">C19+C16</f>
        <v>0</v>
      </c>
      <c r="D23" s="79">
        <f t="shared" si="10"/>
        <v>0</v>
      </c>
      <c r="E23" s="79">
        <f t="shared" si="10"/>
        <v>0</v>
      </c>
      <c r="F23" s="80">
        <f>F19+F16</f>
        <v>12050</v>
      </c>
      <c r="G23" s="88">
        <f t="shared" ref="G23:K23" si="11">G19+G16</f>
        <v>40000</v>
      </c>
      <c r="H23" s="88">
        <f t="shared" si="11"/>
        <v>70000</v>
      </c>
      <c r="I23" s="88">
        <f t="shared" si="11"/>
        <v>100000</v>
      </c>
      <c r="J23" s="88">
        <f t="shared" si="11"/>
        <v>120000</v>
      </c>
      <c r="K23" s="89">
        <f t="shared" si="11"/>
        <v>150000</v>
      </c>
    </row>
    <row r="24" spans="2:11" x14ac:dyDescent="0.55000000000000004">
      <c r="B24" s="62" t="s">
        <v>57</v>
      </c>
      <c r="C24" s="27"/>
      <c r="D24" s="27"/>
      <c r="E24" s="27"/>
      <c r="F24" s="28"/>
      <c r="G24" s="98">
        <f>G23*$C$4</f>
        <v>13432</v>
      </c>
      <c r="H24" s="98">
        <f t="shared" ref="H24:K24" si="12">H23*$C$4</f>
        <v>23506</v>
      </c>
      <c r="I24" s="98">
        <f t="shared" si="12"/>
        <v>33580</v>
      </c>
      <c r="J24" s="98">
        <f t="shared" si="12"/>
        <v>40296</v>
      </c>
      <c r="K24" s="98">
        <f t="shared" si="12"/>
        <v>50370</v>
      </c>
    </row>
    <row r="25" spans="2:11" x14ac:dyDescent="0.55000000000000004">
      <c r="B25" s="78" t="s">
        <v>55</v>
      </c>
      <c r="C25" s="79">
        <f t="shared" ref="C25:F25" si="13">C23-C24</f>
        <v>0</v>
      </c>
      <c r="D25" s="79">
        <f t="shared" si="13"/>
        <v>0</v>
      </c>
      <c r="E25" s="79">
        <f t="shared" si="13"/>
        <v>0</v>
      </c>
      <c r="F25" s="80">
        <f t="shared" si="13"/>
        <v>12050</v>
      </c>
      <c r="G25" s="88">
        <f>G23-G24</f>
        <v>26568</v>
      </c>
      <c r="H25" s="88">
        <f t="shared" ref="H25:K25" si="14">H23-H24</f>
        <v>46494</v>
      </c>
      <c r="I25" s="88">
        <f t="shared" si="14"/>
        <v>66420</v>
      </c>
      <c r="J25" s="88">
        <f t="shared" si="14"/>
        <v>79704</v>
      </c>
      <c r="K25" s="89">
        <f t="shared" si="14"/>
        <v>99630</v>
      </c>
    </row>
    <row r="26" spans="2:11" x14ac:dyDescent="0.55000000000000004">
      <c r="B26" s="62" t="s">
        <v>5</v>
      </c>
      <c r="C26" s="27"/>
      <c r="D26" s="27"/>
      <c r="E26" s="27"/>
      <c r="F26" s="24">
        <v>5500</v>
      </c>
      <c r="G26" s="29">
        <v>7500</v>
      </c>
      <c r="H26" s="29">
        <v>9500</v>
      </c>
      <c r="I26" s="29">
        <v>11500</v>
      </c>
      <c r="J26" s="29">
        <v>8500</v>
      </c>
      <c r="K26" s="30">
        <v>10500</v>
      </c>
    </row>
    <row r="27" spans="2:11" x14ac:dyDescent="0.55000000000000004">
      <c r="B27" s="62" t="s">
        <v>7</v>
      </c>
      <c r="C27" s="27"/>
      <c r="D27" s="27"/>
      <c r="E27" s="27"/>
      <c r="F27" s="18">
        <v>3000</v>
      </c>
      <c r="G27" s="17">
        <v>10000</v>
      </c>
      <c r="H27" s="17">
        <v>10000</v>
      </c>
      <c r="I27" s="17">
        <v>10000</v>
      </c>
      <c r="J27" s="17">
        <v>10000</v>
      </c>
      <c r="K27" s="18">
        <v>10000</v>
      </c>
    </row>
    <row r="28" spans="2:11" x14ac:dyDescent="0.55000000000000004">
      <c r="B28" s="62" t="s">
        <v>8</v>
      </c>
      <c r="C28" s="27"/>
      <c r="D28" s="31"/>
      <c r="E28" s="31"/>
      <c r="F28" s="24">
        <v>72000</v>
      </c>
      <c r="G28" s="99">
        <f>G9/365*G29</f>
        <v>84000</v>
      </c>
      <c r="H28" s="99">
        <f t="shared" ref="H28:K28" si="15">H9/365*H29</f>
        <v>102000</v>
      </c>
      <c r="I28" s="99">
        <f t="shared" si="15"/>
        <v>119999.99999999999</v>
      </c>
      <c r="J28" s="99">
        <f t="shared" si="15"/>
        <v>143999.99999999997</v>
      </c>
      <c r="K28" s="99">
        <f t="shared" si="15"/>
        <v>179999.99999999997</v>
      </c>
    </row>
    <row r="29" spans="2:11" x14ac:dyDescent="0.55000000000000004">
      <c r="B29" s="64" t="s">
        <v>68</v>
      </c>
      <c r="C29" s="68" t="e">
        <f t="shared" ref="C29:E29" si="16">C28/C23</f>
        <v>#DIV/0!</v>
      </c>
      <c r="D29" s="68" t="e">
        <f t="shared" si="16"/>
        <v>#DIV/0!</v>
      </c>
      <c r="E29" s="68" t="e">
        <f t="shared" si="16"/>
        <v>#DIV/0!</v>
      </c>
      <c r="F29" s="70">
        <f>F28/F9*365</f>
        <v>43.8</v>
      </c>
      <c r="G29" s="100">
        <f>F29</f>
        <v>43.8</v>
      </c>
      <c r="H29" s="100">
        <f t="shared" ref="H29:K31" si="17">G29</f>
        <v>43.8</v>
      </c>
      <c r="I29" s="100">
        <f t="shared" si="17"/>
        <v>43.8</v>
      </c>
      <c r="J29" s="100">
        <f t="shared" si="17"/>
        <v>43.8</v>
      </c>
      <c r="K29" s="100">
        <f t="shared" si="17"/>
        <v>43.8</v>
      </c>
    </row>
    <row r="30" spans="2:11" x14ac:dyDescent="0.55000000000000004">
      <c r="B30" s="62" t="s">
        <v>9</v>
      </c>
      <c r="C30" s="27"/>
      <c r="D30" s="31"/>
      <c r="E30" s="31"/>
      <c r="F30" s="24">
        <v>70000</v>
      </c>
      <c r="G30" s="99">
        <f>(G10+G13-G26)/365*G31</f>
        <v>78750.000000000015</v>
      </c>
      <c r="H30" s="99">
        <f t="shared" ref="H30:K30" si="18">(H10+H13-H26)/365*H31</f>
        <v>92991.379310344841</v>
      </c>
      <c r="I30" s="99">
        <f t="shared" si="18"/>
        <v>107232.75862068967</v>
      </c>
      <c r="J30" s="99">
        <f t="shared" si="18"/>
        <v>129318.96551724139</v>
      </c>
      <c r="K30" s="99">
        <f t="shared" si="18"/>
        <v>161663.79310344829</v>
      </c>
    </row>
    <row r="31" spans="2:11" x14ac:dyDescent="0.55000000000000004">
      <c r="B31" s="64" t="s">
        <v>69</v>
      </c>
      <c r="C31" s="68" t="e">
        <f t="shared" ref="C31:E31" si="19">C30/C25</f>
        <v>#DIV/0!</v>
      </c>
      <c r="D31" s="68" t="e">
        <f t="shared" si="19"/>
        <v>#DIV/0!</v>
      </c>
      <c r="E31" s="68" t="e">
        <f t="shared" si="19"/>
        <v>#DIV/0!</v>
      </c>
      <c r="F31" s="70">
        <f>F30/(F10+F13-F26)*365</f>
        <v>44.051724137931039</v>
      </c>
      <c r="G31" s="100">
        <f>F31</f>
        <v>44.051724137931039</v>
      </c>
      <c r="H31" s="100">
        <f t="shared" si="17"/>
        <v>44.051724137931039</v>
      </c>
      <c r="I31" s="100">
        <f t="shared" si="17"/>
        <v>44.051724137931039</v>
      </c>
      <c r="J31" s="100">
        <f t="shared" si="17"/>
        <v>44.051724137931039</v>
      </c>
      <c r="K31" s="100">
        <f t="shared" si="17"/>
        <v>44.051724137931039</v>
      </c>
    </row>
    <row r="32" spans="2:11" x14ac:dyDescent="0.55000000000000004">
      <c r="B32" s="62" t="s">
        <v>10</v>
      </c>
      <c r="C32" s="71"/>
      <c r="D32" s="72"/>
      <c r="E32" s="72"/>
      <c r="F32" s="73">
        <f>F28-F30</f>
        <v>2000</v>
      </c>
      <c r="G32" s="98">
        <f t="shared" ref="G32:K32" si="20">G28-G30</f>
        <v>5249.9999999999854</v>
      </c>
      <c r="H32" s="98">
        <f t="shared" si="20"/>
        <v>9008.6206896551594</v>
      </c>
      <c r="I32" s="98">
        <f t="shared" si="20"/>
        <v>12767.241379310319</v>
      </c>
      <c r="J32" s="98">
        <f t="shared" si="20"/>
        <v>14681.03448275858</v>
      </c>
      <c r="K32" s="101">
        <f t="shared" si="20"/>
        <v>18336.206896551681</v>
      </c>
    </row>
    <row r="33" spans="1:11" x14ac:dyDescent="0.55000000000000004">
      <c r="B33" s="62" t="s">
        <v>11</v>
      </c>
      <c r="C33" s="74"/>
      <c r="D33" s="66"/>
      <c r="E33" s="66"/>
      <c r="F33" s="67"/>
      <c r="G33" s="98">
        <f t="shared" ref="G33:K33" si="21">G32-F32</f>
        <v>3249.9999999999854</v>
      </c>
      <c r="H33" s="98">
        <f t="shared" si="21"/>
        <v>3758.6206896551739</v>
      </c>
      <c r="I33" s="98">
        <f t="shared" si="21"/>
        <v>3758.6206896551594</v>
      </c>
      <c r="J33" s="98">
        <f t="shared" si="21"/>
        <v>1913.7931034482608</v>
      </c>
      <c r="K33" s="101">
        <f t="shared" si="21"/>
        <v>3655.1724137931014</v>
      </c>
    </row>
    <row r="34" spans="1:11" x14ac:dyDescent="0.55000000000000004">
      <c r="B34" s="78" t="s">
        <v>36</v>
      </c>
      <c r="C34" s="79"/>
      <c r="D34" s="79"/>
      <c r="E34" s="79"/>
      <c r="F34" s="80"/>
      <c r="G34" s="88">
        <f>G25+G26-G27-G33</f>
        <v>20818.000000000015</v>
      </c>
      <c r="H34" s="88">
        <f t="shared" ref="H34:K34" si="22">H25+H26-H27-H33</f>
        <v>42235.379310344826</v>
      </c>
      <c r="I34" s="88">
        <f t="shared" si="22"/>
        <v>64161.379310344841</v>
      </c>
      <c r="J34" s="88">
        <f t="shared" si="22"/>
        <v>76290.206896551739</v>
      </c>
      <c r="K34" s="88">
        <f t="shared" si="22"/>
        <v>96474.827586206899</v>
      </c>
    </row>
    <row r="35" spans="1:11" x14ac:dyDescent="0.55000000000000004">
      <c r="B35" s="62" t="s">
        <v>51</v>
      </c>
      <c r="C35" s="65"/>
      <c r="D35" s="66"/>
      <c r="E35" s="66"/>
      <c r="F35" s="67"/>
      <c r="G35" s="102">
        <f>C73</f>
        <v>0.15768290573992425</v>
      </c>
      <c r="H35" s="102">
        <f>G35</f>
        <v>0.15768290573992425</v>
      </c>
      <c r="I35" s="102">
        <f>H35</f>
        <v>0.15768290573992425</v>
      </c>
      <c r="J35" s="102">
        <f>I35</f>
        <v>0.15768290573992425</v>
      </c>
      <c r="K35" s="103">
        <f>J35</f>
        <v>0.15768290573992425</v>
      </c>
    </row>
    <row r="36" spans="1:11" x14ac:dyDescent="0.55000000000000004">
      <c r="B36" s="62" t="s">
        <v>52</v>
      </c>
      <c r="C36" s="66"/>
      <c r="D36" s="66"/>
      <c r="E36" s="66"/>
      <c r="F36" s="67"/>
      <c r="G36" s="104">
        <f>YEARFRAC($C$2,G8)</f>
        <v>0.5</v>
      </c>
      <c r="H36" s="104">
        <f>G36+1</f>
        <v>1.5</v>
      </c>
      <c r="I36" s="104">
        <f>H36+1</f>
        <v>2.5</v>
      </c>
      <c r="J36" s="104">
        <f>I36+1</f>
        <v>3.5</v>
      </c>
      <c r="K36" s="105">
        <f>J36+1</f>
        <v>4.5</v>
      </c>
    </row>
    <row r="37" spans="1:11" x14ac:dyDescent="0.55000000000000004">
      <c r="B37" s="62" t="s">
        <v>79</v>
      </c>
      <c r="C37" s="66"/>
      <c r="D37" s="66"/>
      <c r="E37" s="66"/>
      <c r="F37" s="67"/>
      <c r="G37" s="104">
        <f>IF(G36&lt;1,0.5*G36,0.5)</f>
        <v>0.25</v>
      </c>
      <c r="H37" s="104">
        <f t="shared" ref="H37:K37" si="23">IF(H36&lt;1,0.5*H36,0.5)</f>
        <v>0.5</v>
      </c>
      <c r="I37" s="104">
        <f t="shared" si="23"/>
        <v>0.5</v>
      </c>
      <c r="J37" s="104">
        <f t="shared" si="23"/>
        <v>0.5</v>
      </c>
      <c r="K37" s="104">
        <f t="shared" si="23"/>
        <v>0.5</v>
      </c>
    </row>
    <row r="38" spans="1:11" x14ac:dyDescent="0.55000000000000004">
      <c r="B38" s="62" t="s">
        <v>53</v>
      </c>
      <c r="C38" s="66"/>
      <c r="D38" s="66"/>
      <c r="E38" s="66"/>
      <c r="F38" s="67"/>
      <c r="G38" s="106">
        <f>(1/(1+G35)^G36)*((1+G35)^G37)</f>
        <v>0.96405673911248813</v>
      </c>
      <c r="H38" s="106">
        <f t="shared" ref="H38:K38" si="24">(1/(1+H35)^H36)*((1+H35)^H37)</f>
        <v>0.86379439053810481</v>
      </c>
      <c r="I38" s="106">
        <f t="shared" si="24"/>
        <v>0.74614074912509576</v>
      </c>
      <c r="J38" s="106">
        <f t="shared" si="24"/>
        <v>0.64451219364615697</v>
      </c>
      <c r="K38" s="106">
        <f t="shared" si="24"/>
        <v>0.55672601750495909</v>
      </c>
    </row>
    <row r="39" spans="1:11" ht="18.5" thickBot="1" x14ac:dyDescent="0.6">
      <c r="B39" s="83" t="s">
        <v>54</v>
      </c>
      <c r="C39" s="84"/>
      <c r="D39" s="84"/>
      <c r="E39" s="84"/>
      <c r="F39" s="85"/>
      <c r="G39" s="92">
        <f>G38*G34</f>
        <v>20069.733194843793</v>
      </c>
      <c r="H39" s="92">
        <f>H38*H34</f>
        <v>36482.683730524994</v>
      </c>
      <c r="I39" s="92">
        <f>I38*I34</f>
        <v>47873.419623520116</v>
      </c>
      <c r="J39" s="92">
        <f>J38*J34</f>
        <v>49169.968600615735</v>
      </c>
      <c r="K39" s="93">
        <f>K38*K34</f>
        <v>53710.046551546533</v>
      </c>
    </row>
    <row r="40" spans="1:11" ht="18.5" thickTop="1" x14ac:dyDescent="0.55000000000000004">
      <c r="B40" s="2"/>
      <c r="C40" s="2"/>
      <c r="D40" s="14"/>
      <c r="E40" s="2"/>
      <c r="F40" s="2"/>
      <c r="G40" s="2"/>
      <c r="H40" s="2"/>
      <c r="I40" s="2"/>
      <c r="J40" s="2"/>
      <c r="K40" s="2"/>
    </row>
    <row r="41" spans="1:11" ht="24" x14ac:dyDescent="0.55000000000000004">
      <c r="B41" s="3" t="s">
        <v>15</v>
      </c>
      <c r="C41" s="15"/>
      <c r="D41" s="15"/>
      <c r="E41" s="15"/>
      <c r="F41" s="15"/>
      <c r="G41" s="15"/>
      <c r="H41" s="15"/>
      <c r="I41" s="15"/>
      <c r="J41" s="2"/>
      <c r="K41" s="2"/>
    </row>
    <row r="42" spans="1:11" ht="20" x14ac:dyDescent="0.55000000000000004">
      <c r="B42" s="4"/>
      <c r="C42" s="15"/>
      <c r="D42" s="15"/>
      <c r="E42" s="15"/>
      <c r="F42" s="15"/>
      <c r="G42" s="15"/>
      <c r="H42" s="15"/>
      <c r="I42" s="15"/>
      <c r="J42" s="2"/>
      <c r="K42" s="2"/>
    </row>
    <row r="43" spans="1:11" ht="30" x14ac:dyDescent="0.55000000000000004">
      <c r="B43" s="107" t="s">
        <v>16</v>
      </c>
      <c r="C43" s="108" t="s">
        <v>17</v>
      </c>
      <c r="D43" s="108" t="s">
        <v>18</v>
      </c>
      <c r="E43" s="108" t="s">
        <v>19</v>
      </c>
      <c r="F43" s="108" t="s">
        <v>41</v>
      </c>
      <c r="G43" s="108" t="s">
        <v>38</v>
      </c>
      <c r="H43" s="108" t="s">
        <v>20</v>
      </c>
      <c r="I43" s="108" t="s">
        <v>37</v>
      </c>
      <c r="J43" s="2"/>
      <c r="K43" s="2"/>
    </row>
    <row r="44" spans="1:11" x14ac:dyDescent="0.55000000000000004">
      <c r="A44" s="2"/>
      <c r="B44" s="5" t="s">
        <v>81</v>
      </c>
      <c r="C44" s="32">
        <v>1.1499999999999999</v>
      </c>
      <c r="D44" s="33">
        <v>0</v>
      </c>
      <c r="E44" s="33">
        <v>4661316</v>
      </c>
      <c r="F44" s="112">
        <f>D44/E44</f>
        <v>0</v>
      </c>
      <c r="G44" s="112">
        <f>E44/(D44+E44)</f>
        <v>1</v>
      </c>
      <c r="H44" s="34">
        <v>0.30620000000000003</v>
      </c>
      <c r="I44" s="113">
        <f>C44/(1+(F44)*(1-H44))</f>
        <v>1.1499999999999999</v>
      </c>
      <c r="J44" s="2"/>
      <c r="K44" s="2"/>
    </row>
    <row r="45" spans="1:11" x14ac:dyDescent="0.55000000000000004">
      <c r="A45" s="2"/>
      <c r="B45" s="6" t="s">
        <v>82</v>
      </c>
      <c r="C45" s="32">
        <v>0.44</v>
      </c>
      <c r="D45" s="33">
        <v>335940</v>
      </c>
      <c r="E45" s="33">
        <v>3827325</v>
      </c>
      <c r="F45" s="112">
        <f>D45/E45</f>
        <v>8.777409809723502E-2</v>
      </c>
      <c r="G45" s="112">
        <f>E45/(D45+E45)</f>
        <v>0.91930852347856795</v>
      </c>
      <c r="H45" s="34">
        <v>0.30620000000000003</v>
      </c>
      <c r="I45" s="113">
        <f>C45/(1+(F45)*(1-H45))</f>
        <v>0.41474311118712065</v>
      </c>
      <c r="J45" s="2"/>
      <c r="K45" s="2"/>
    </row>
    <row r="46" spans="1:11" x14ac:dyDescent="0.55000000000000004">
      <c r="A46" s="2"/>
      <c r="B46" s="6" t="s">
        <v>83</v>
      </c>
      <c r="C46" s="32">
        <v>1.21</v>
      </c>
      <c r="D46" s="33">
        <v>0</v>
      </c>
      <c r="E46" s="33">
        <v>6667920</v>
      </c>
      <c r="F46" s="112">
        <f t="shared" ref="F46:F47" si="25">D46/E46</f>
        <v>0</v>
      </c>
      <c r="G46" s="112">
        <f t="shared" ref="G46:G47" si="26">E46/(D46+E46)</f>
        <v>1</v>
      </c>
      <c r="H46" s="34">
        <v>0.30620000000000003</v>
      </c>
      <c r="I46" s="113">
        <f t="shared" ref="I46:I47" si="27">C46/(1+(F46)*(1-H46))</f>
        <v>1.21</v>
      </c>
      <c r="J46" s="2"/>
      <c r="K46" s="2"/>
    </row>
    <row r="47" spans="1:11" x14ac:dyDescent="0.55000000000000004">
      <c r="A47" s="2"/>
      <c r="B47" s="6" t="s">
        <v>91</v>
      </c>
      <c r="C47" s="32">
        <v>1.17</v>
      </c>
      <c r="D47" s="33">
        <v>182365</v>
      </c>
      <c r="E47" s="33">
        <v>2955876</v>
      </c>
      <c r="F47" s="112">
        <f t="shared" si="25"/>
        <v>6.1695754490377813E-2</v>
      </c>
      <c r="G47" s="112">
        <f t="shared" si="26"/>
        <v>0.94188942149439769</v>
      </c>
      <c r="H47" s="34">
        <v>0.30620000000000003</v>
      </c>
      <c r="I47" s="113">
        <f t="shared" si="27"/>
        <v>1.1219744293107328</v>
      </c>
      <c r="J47" s="2"/>
      <c r="K47" s="2"/>
    </row>
    <row r="48" spans="1:11" x14ac:dyDescent="0.55000000000000004">
      <c r="A48" s="2"/>
      <c r="B48" s="7" t="s">
        <v>89</v>
      </c>
      <c r="C48" s="32">
        <v>0.78</v>
      </c>
      <c r="D48" s="33">
        <v>598022</v>
      </c>
      <c r="E48" s="33">
        <v>6587003</v>
      </c>
      <c r="F48" s="112">
        <f>D48/E48</f>
        <v>9.0788177870876938E-2</v>
      </c>
      <c r="G48" s="112">
        <f>E48/(D48+E48)</f>
        <v>0.91676827846806375</v>
      </c>
      <c r="H48" s="34">
        <v>0.30620000000000003</v>
      </c>
      <c r="I48" s="113">
        <f>C48/(1+(F48)*(1-H48))</f>
        <v>0.73378004759609317</v>
      </c>
      <c r="J48" s="2"/>
      <c r="K48" s="2"/>
    </row>
    <row r="49" spans="2:11" x14ac:dyDescent="0.55000000000000004">
      <c r="B49" s="124" t="s">
        <v>21</v>
      </c>
      <c r="C49" s="145">
        <f>MEDIAN(C44:C48)</f>
        <v>1.1499999999999999</v>
      </c>
      <c r="D49" s="145"/>
      <c r="E49" s="145"/>
      <c r="F49" s="146">
        <f>MEDIAN(F44:F48)</f>
        <v>6.1695754490377813E-2</v>
      </c>
      <c r="G49" s="146">
        <f>MEDIAN(G44:G48)</f>
        <v>0.94188942149439769</v>
      </c>
      <c r="H49" s="147"/>
      <c r="I49" s="145">
        <f>MEDIAN(I44:I48)</f>
        <v>1.1219744293107328</v>
      </c>
      <c r="J49" s="2"/>
      <c r="K49" s="2"/>
    </row>
    <row r="50" spans="2:11" x14ac:dyDescent="0.55000000000000004">
      <c r="B50" s="107" t="s">
        <v>62</v>
      </c>
      <c r="C50" s="109">
        <f>AVERAGE(C44:C48)</f>
        <v>0.95</v>
      </c>
      <c r="D50" s="109"/>
      <c r="E50" s="109"/>
      <c r="F50" s="110">
        <f>AVERAGE(F44:F48)</f>
        <v>4.8051606091697951E-2</v>
      </c>
      <c r="G50" s="110">
        <f>AVERAGE(G44:G48)</f>
        <v>0.95559324468820583</v>
      </c>
      <c r="H50" s="111"/>
      <c r="I50" s="109">
        <f>AVERAGE(I44:I48)</f>
        <v>0.92609951761878939</v>
      </c>
      <c r="J50" s="2"/>
      <c r="K50" s="2"/>
    </row>
    <row r="51" spans="2:11" s="2" customFormat="1" ht="15" x14ac:dyDescent="0.55000000000000004">
      <c r="B51" s="8" t="s">
        <v>88</v>
      </c>
      <c r="C51" s="32" t="s">
        <v>85</v>
      </c>
      <c r="D51" s="32" t="s">
        <v>90</v>
      </c>
      <c r="E51" s="35"/>
      <c r="F51" s="32"/>
      <c r="G51" s="32"/>
    </row>
    <row r="52" spans="2:11" x14ac:dyDescent="0.55000000000000004">
      <c r="B52" s="8" t="s">
        <v>92</v>
      </c>
      <c r="C52" s="32" t="s">
        <v>93</v>
      </c>
      <c r="D52" s="32"/>
      <c r="E52" s="32"/>
      <c r="F52" s="32"/>
      <c r="G52" s="32"/>
      <c r="H52" s="2"/>
      <c r="I52" s="2"/>
      <c r="J52" s="2"/>
      <c r="K52" s="2"/>
    </row>
    <row r="53" spans="2:11" x14ac:dyDescent="0.55000000000000004">
      <c r="B53" s="8" t="s">
        <v>86</v>
      </c>
      <c r="C53" s="32" t="s">
        <v>84</v>
      </c>
      <c r="D53" s="32"/>
      <c r="E53" s="32"/>
      <c r="F53" s="32"/>
      <c r="G53" s="32"/>
      <c r="H53" s="2"/>
      <c r="I53" s="2"/>
      <c r="J53" s="2"/>
      <c r="K53" s="2"/>
    </row>
    <row r="54" spans="2:11" x14ac:dyDescent="0.55000000000000004">
      <c r="B54" s="8" t="s">
        <v>87</v>
      </c>
      <c r="C54" s="32"/>
      <c r="D54" s="32"/>
      <c r="E54" s="32"/>
      <c r="F54" s="32"/>
      <c r="G54" s="32"/>
      <c r="H54" s="2"/>
      <c r="I54" s="2"/>
      <c r="J54" s="2"/>
      <c r="K54" s="2"/>
    </row>
    <row r="55" spans="2:11" ht="30" x14ac:dyDescent="0.55000000000000004">
      <c r="B55" s="139" t="s">
        <v>24</v>
      </c>
      <c r="C55" s="140"/>
      <c r="D55" s="114" t="s">
        <v>22</v>
      </c>
      <c r="E55" s="114" t="s">
        <v>23</v>
      </c>
      <c r="F55" s="114" t="s">
        <v>20</v>
      </c>
      <c r="G55" s="114" t="s">
        <v>24</v>
      </c>
      <c r="H55" s="36"/>
      <c r="I55" s="2"/>
      <c r="J55" s="2"/>
      <c r="K55" s="2"/>
    </row>
    <row r="56" spans="2:11" x14ac:dyDescent="0.55000000000000004">
      <c r="B56" s="141" t="s">
        <v>25</v>
      </c>
      <c r="C56" s="142"/>
      <c r="D56" s="115">
        <f>I50</f>
        <v>0.92609951761878939</v>
      </c>
      <c r="E56" s="143">
        <f>F50</f>
        <v>4.8051606091697951E-2</v>
      </c>
      <c r="F56" s="144">
        <f>C4</f>
        <v>0.33579999999999999</v>
      </c>
      <c r="G56" s="115">
        <f>D56*(1+(E56)*(1-F56))</f>
        <v>0.95565679569626072</v>
      </c>
      <c r="H56" s="2"/>
      <c r="I56" s="2"/>
      <c r="J56" s="2"/>
      <c r="K56" s="2"/>
    </row>
    <row r="57" spans="2:11" x14ac:dyDescent="0.55000000000000004">
      <c r="B57" s="2"/>
      <c r="C57" s="37"/>
      <c r="D57" s="38"/>
      <c r="E57" s="38"/>
      <c r="F57" s="38"/>
      <c r="G57" s="2"/>
      <c r="H57" s="2"/>
      <c r="I57" s="2"/>
      <c r="J57" s="2"/>
      <c r="K57" s="2"/>
    </row>
    <row r="58" spans="2:11" ht="24" x14ac:dyDescent="0.55000000000000004">
      <c r="B58" s="3" t="s">
        <v>73</v>
      </c>
      <c r="C58" s="15"/>
      <c r="D58" s="15"/>
      <c r="E58" s="15"/>
      <c r="F58" s="15"/>
      <c r="G58" s="15"/>
      <c r="H58" s="15"/>
      <c r="I58" s="15"/>
      <c r="J58" s="2"/>
      <c r="K58" s="2"/>
    </row>
    <row r="59" spans="2:11" x14ac:dyDescent="0.55000000000000004">
      <c r="B59" s="116" t="s">
        <v>27</v>
      </c>
      <c r="C59" s="117"/>
      <c r="D59" s="39"/>
      <c r="E59" s="15"/>
      <c r="F59" s="40"/>
      <c r="G59" s="41"/>
      <c r="H59" s="42"/>
      <c r="I59" s="38"/>
      <c r="J59" s="38"/>
      <c r="K59" s="42"/>
    </row>
    <row r="60" spans="2:11" x14ac:dyDescent="0.55000000000000004">
      <c r="B60" s="63" t="s">
        <v>39</v>
      </c>
      <c r="C60" s="118">
        <f>1-C61</f>
        <v>4.4406755311794166E-2</v>
      </c>
      <c r="D60" s="43"/>
      <c r="E60" s="44"/>
      <c r="F60" s="45"/>
      <c r="G60" s="45"/>
      <c r="H60" s="45"/>
      <c r="I60" s="45"/>
      <c r="J60" s="38"/>
      <c r="K60" s="42"/>
    </row>
    <row r="61" spans="2:11" x14ac:dyDescent="0.55000000000000004">
      <c r="B61" s="63" t="s">
        <v>38</v>
      </c>
      <c r="C61" s="118">
        <f>G50</f>
        <v>0.95559324468820583</v>
      </c>
      <c r="D61" s="43"/>
      <c r="E61" s="44"/>
      <c r="F61" s="45"/>
      <c r="G61" s="45"/>
      <c r="H61" s="45"/>
      <c r="I61" s="45"/>
      <c r="J61" s="38"/>
      <c r="K61" s="42"/>
    </row>
    <row r="62" spans="2:11" x14ac:dyDescent="0.55000000000000004">
      <c r="B62" s="63" t="s">
        <v>40</v>
      </c>
      <c r="C62" s="118">
        <f>F50</f>
        <v>4.8051606091697951E-2</v>
      </c>
      <c r="D62" s="43"/>
      <c r="E62" s="44"/>
      <c r="F62" s="45"/>
      <c r="G62" s="45"/>
      <c r="H62" s="45"/>
      <c r="I62" s="45"/>
      <c r="J62" s="38"/>
      <c r="K62" s="42"/>
    </row>
    <row r="63" spans="2:11" x14ac:dyDescent="0.55000000000000004">
      <c r="B63" s="116" t="s">
        <v>28</v>
      </c>
      <c r="C63" s="119"/>
      <c r="D63" s="43"/>
      <c r="E63" s="44"/>
      <c r="F63" s="45"/>
      <c r="G63" s="45"/>
      <c r="H63" s="45"/>
      <c r="I63" s="45"/>
      <c r="J63" s="38"/>
      <c r="K63" s="42"/>
    </row>
    <row r="64" spans="2:11" x14ac:dyDescent="0.55000000000000004">
      <c r="B64" s="63" t="s">
        <v>29</v>
      </c>
      <c r="C64" s="46">
        <v>6.5700000000000003E-3</v>
      </c>
      <c r="D64" s="47"/>
      <c r="E64" s="44"/>
      <c r="F64" s="45"/>
      <c r="G64" s="45"/>
      <c r="H64" s="45"/>
      <c r="I64" s="45"/>
      <c r="J64" s="38"/>
      <c r="K64" s="42"/>
    </row>
    <row r="65" spans="2:11" s="2" customFormat="1" ht="15" x14ac:dyDescent="0.55000000000000004">
      <c r="B65" s="63" t="s">
        <v>30</v>
      </c>
      <c r="C65" s="46">
        <v>6.0699999999999997E-2</v>
      </c>
      <c r="D65" s="48"/>
      <c r="E65" s="44"/>
      <c r="F65" s="45"/>
      <c r="G65" s="45"/>
      <c r="H65" s="45"/>
      <c r="I65" s="45"/>
      <c r="J65" s="38"/>
    </row>
    <row r="66" spans="2:11" x14ac:dyDescent="0.55000000000000004">
      <c r="B66" s="63" t="s">
        <v>31</v>
      </c>
      <c r="C66" s="121">
        <f>G56</f>
        <v>0.95565679569626072</v>
      </c>
      <c r="D66" s="43"/>
      <c r="E66" s="44"/>
      <c r="F66" s="45"/>
      <c r="G66" s="45"/>
      <c r="H66" s="45"/>
      <c r="I66" s="45"/>
      <c r="J66" s="38"/>
      <c r="K66" s="42"/>
    </row>
    <row r="67" spans="2:11" x14ac:dyDescent="0.55000000000000004">
      <c r="B67" s="120" t="s">
        <v>32</v>
      </c>
      <c r="C67" s="49">
        <v>0.1</v>
      </c>
      <c r="D67" s="47"/>
      <c r="E67" s="44"/>
      <c r="F67" s="45"/>
      <c r="G67" s="45"/>
      <c r="H67" s="45"/>
      <c r="I67" s="45"/>
      <c r="J67" s="38"/>
      <c r="K67" s="42"/>
    </row>
    <row r="68" spans="2:11" x14ac:dyDescent="0.55000000000000004">
      <c r="B68" s="124" t="s">
        <v>33</v>
      </c>
      <c r="C68" s="125">
        <f>C64+(C66*C65)+C67</f>
        <v>0.16457836749876303</v>
      </c>
      <c r="D68" s="43"/>
      <c r="E68" s="44"/>
      <c r="F68" s="45"/>
      <c r="G68" s="45"/>
      <c r="H68" s="45"/>
      <c r="I68" s="45"/>
      <c r="J68" s="38"/>
      <c r="K68" s="42"/>
    </row>
    <row r="69" spans="2:11" x14ac:dyDescent="0.55000000000000004">
      <c r="B69" s="116" t="s">
        <v>34</v>
      </c>
      <c r="C69" s="122"/>
      <c r="D69" s="43"/>
      <c r="E69" s="44"/>
      <c r="F69" s="45"/>
      <c r="G69" s="45"/>
      <c r="H69" s="45"/>
      <c r="I69" s="45"/>
      <c r="J69" s="38"/>
      <c r="K69" s="42"/>
    </row>
    <row r="70" spans="2:11" x14ac:dyDescent="0.55000000000000004">
      <c r="B70" s="63" t="s">
        <v>35</v>
      </c>
      <c r="C70" s="50">
        <v>1.4E-2</v>
      </c>
      <c r="D70" s="47"/>
      <c r="E70" s="44"/>
      <c r="F70" s="45"/>
      <c r="G70" s="45"/>
      <c r="H70" s="45"/>
      <c r="I70" s="45"/>
      <c r="J70" s="38"/>
      <c r="K70" s="42"/>
    </row>
    <row r="71" spans="2:11" x14ac:dyDescent="0.55000000000000004">
      <c r="B71" s="120" t="s">
        <v>20</v>
      </c>
      <c r="C71" s="123">
        <f>C4</f>
        <v>0.33579999999999999</v>
      </c>
      <c r="D71" s="43"/>
      <c r="E71" s="44"/>
      <c r="F71" s="45"/>
      <c r="G71" s="45"/>
      <c r="H71" s="45"/>
      <c r="I71" s="45"/>
      <c r="J71" s="38"/>
      <c r="K71" s="42"/>
    </row>
    <row r="72" spans="2:11" x14ac:dyDescent="0.55000000000000004">
      <c r="B72" s="124" t="s">
        <v>63</v>
      </c>
      <c r="C72" s="126">
        <f>C70*(1-C71)</f>
        <v>9.2988000000000012E-3</v>
      </c>
      <c r="D72" s="51"/>
      <c r="E72" s="44"/>
      <c r="F72" s="45"/>
      <c r="G72" s="45"/>
      <c r="H72" s="45"/>
      <c r="I72" s="45"/>
      <c r="J72" s="38"/>
      <c r="K72" s="42"/>
    </row>
    <row r="73" spans="2:11" x14ac:dyDescent="0.55000000000000004">
      <c r="B73" s="127" t="s">
        <v>26</v>
      </c>
      <c r="C73" s="128">
        <f>(C72*C60)+(C68*C61)</f>
        <v>0.15768290573992425</v>
      </c>
      <c r="D73" s="52"/>
      <c r="E73" s="53"/>
      <c r="F73" s="54"/>
      <c r="G73" s="55"/>
      <c r="H73" s="55"/>
      <c r="I73" s="55"/>
      <c r="J73" s="38"/>
      <c r="K73" s="42"/>
    </row>
    <row r="74" spans="2:11" x14ac:dyDescent="0.55000000000000004">
      <c r="B74" s="9"/>
      <c r="C74" s="38"/>
      <c r="D74" s="38"/>
      <c r="E74" s="38"/>
      <c r="F74" s="38"/>
      <c r="G74" s="56"/>
      <c r="H74" s="56"/>
      <c r="I74" s="56"/>
      <c r="J74" s="56"/>
      <c r="K74" s="56"/>
    </row>
    <row r="75" spans="2:11" ht="24" x14ac:dyDescent="0.55000000000000004">
      <c r="B75" s="10" t="s">
        <v>74</v>
      </c>
      <c r="C75" s="57"/>
      <c r="D75" s="56"/>
      <c r="E75" s="2"/>
      <c r="F75" s="2"/>
      <c r="G75" s="2"/>
      <c r="H75" s="2"/>
      <c r="I75" s="2"/>
      <c r="J75" s="2"/>
      <c r="K75" s="2"/>
    </row>
    <row r="76" spans="2:11" x14ac:dyDescent="0.55000000000000004">
      <c r="B76" s="62" t="s">
        <v>58</v>
      </c>
      <c r="C76" s="134">
        <f>K34</f>
        <v>96474.827586206899</v>
      </c>
      <c r="D76" s="58"/>
      <c r="E76" s="2"/>
      <c r="F76" s="2"/>
      <c r="G76" s="2"/>
      <c r="H76" s="2"/>
      <c r="I76" s="2"/>
      <c r="J76" s="2"/>
      <c r="K76" s="2"/>
    </row>
    <row r="77" spans="2:11" x14ac:dyDescent="0.55000000000000004">
      <c r="B77" s="62" t="s">
        <v>50</v>
      </c>
      <c r="C77" s="58">
        <v>0.02</v>
      </c>
      <c r="D77" s="38"/>
      <c r="E77" s="2"/>
      <c r="F77" s="2"/>
      <c r="G77" s="2"/>
      <c r="H77" s="2"/>
      <c r="I77" s="2"/>
      <c r="J77" s="2"/>
      <c r="K77" s="2"/>
    </row>
    <row r="78" spans="2:11" x14ac:dyDescent="0.55000000000000004">
      <c r="B78" s="62" t="s">
        <v>59</v>
      </c>
      <c r="C78" s="134">
        <f>C76*(1+C77)/(C73-C77)</f>
        <v>714717.07841358031</v>
      </c>
      <c r="D78" s="38"/>
      <c r="E78" s="2"/>
      <c r="F78" s="2"/>
      <c r="G78" s="2"/>
      <c r="H78" s="2"/>
      <c r="I78" s="2"/>
      <c r="J78" s="2"/>
      <c r="K78" s="2"/>
    </row>
    <row r="79" spans="2:11" x14ac:dyDescent="0.55000000000000004">
      <c r="B79" s="62" t="s">
        <v>52</v>
      </c>
      <c r="C79" s="135">
        <f>K36+0.5</f>
        <v>5</v>
      </c>
      <c r="D79" s="56"/>
      <c r="E79" s="2"/>
      <c r="F79" s="2"/>
      <c r="G79" s="2"/>
      <c r="H79" s="2"/>
      <c r="I79" s="2"/>
      <c r="J79" s="2"/>
      <c r="K79" s="2"/>
    </row>
    <row r="80" spans="2:11" x14ac:dyDescent="0.55000000000000004">
      <c r="B80" s="62" t="s">
        <v>53</v>
      </c>
      <c r="C80" s="136">
        <f>1/((1+C73)^C79)</f>
        <v>0.48089681098740239</v>
      </c>
      <c r="D80" s="58"/>
      <c r="E80" s="2"/>
      <c r="F80" s="2"/>
      <c r="G80" s="2"/>
      <c r="H80" s="2"/>
      <c r="I80" s="2"/>
      <c r="J80" s="2"/>
      <c r="K80" s="2"/>
    </row>
    <row r="81" spans="2:11" x14ac:dyDescent="0.55000000000000004">
      <c r="B81" s="137" t="s">
        <v>60</v>
      </c>
      <c r="C81" s="138">
        <f>C78*C80</f>
        <v>343705.163767324</v>
      </c>
      <c r="D81" s="38"/>
      <c r="E81" s="2"/>
      <c r="F81" s="2"/>
      <c r="G81" s="2"/>
      <c r="H81" s="2"/>
      <c r="I81" s="2"/>
      <c r="J81" s="2"/>
      <c r="K81" s="2"/>
    </row>
    <row r="82" spans="2:11" x14ac:dyDescent="0.55000000000000004">
      <c r="B82" s="9"/>
      <c r="C82" s="38"/>
      <c r="D82" s="38"/>
      <c r="E82" s="38"/>
      <c r="F82" s="38"/>
      <c r="G82" s="56"/>
      <c r="H82" s="56"/>
      <c r="I82" s="56"/>
      <c r="J82" s="56"/>
      <c r="K82" s="56"/>
    </row>
    <row r="83" spans="2:11" ht="24" x14ac:dyDescent="0.55000000000000004">
      <c r="B83" s="10" t="s">
        <v>61</v>
      </c>
      <c r="C83" s="59"/>
      <c r="D83" s="38"/>
    </row>
    <row r="84" spans="2:11" x14ac:dyDescent="0.55000000000000004">
      <c r="B84" s="154" t="s">
        <v>42</v>
      </c>
      <c r="C84" s="155">
        <f>SUM(G39:K39)+C81</f>
        <v>551011.01546837518</v>
      </c>
      <c r="D84" s="38"/>
    </row>
    <row r="85" spans="2:11" x14ac:dyDescent="0.55000000000000004">
      <c r="B85" s="156" t="s">
        <v>43</v>
      </c>
      <c r="C85" s="38">
        <v>70000</v>
      </c>
      <c r="D85" s="17"/>
    </row>
    <row r="86" spans="2:11" x14ac:dyDescent="0.55000000000000004">
      <c r="B86" s="156" t="s">
        <v>65</v>
      </c>
      <c r="C86" s="38">
        <v>81000</v>
      </c>
      <c r="D86" s="60"/>
    </row>
    <row r="87" spans="2:11" x14ac:dyDescent="0.55000000000000004">
      <c r="B87" s="62" t="s">
        <v>76</v>
      </c>
      <c r="C87" s="134">
        <f>C86-C85</f>
        <v>11000</v>
      </c>
      <c r="D87" s="38"/>
    </row>
    <row r="88" spans="2:11" x14ac:dyDescent="0.55000000000000004">
      <c r="B88" s="157" t="s">
        <v>48</v>
      </c>
      <c r="C88" s="158">
        <f>C84+C87</f>
        <v>562011.01546837518</v>
      </c>
      <c r="D88" s="38"/>
    </row>
    <row r="89" spans="2:11" x14ac:dyDescent="0.55000000000000004">
      <c r="B89" s="62" t="s">
        <v>49</v>
      </c>
      <c r="C89" s="134">
        <v>1000</v>
      </c>
      <c r="D89" s="38"/>
    </row>
    <row r="90" spans="2:11" x14ac:dyDescent="0.55000000000000004">
      <c r="B90" s="137" t="s">
        <v>64</v>
      </c>
      <c r="C90" s="138">
        <f>C88/C89</f>
        <v>562.01101546837515</v>
      </c>
      <c r="D90" s="38"/>
      <c r="E90" s="29"/>
    </row>
    <row r="91" spans="2:11" x14ac:dyDescent="0.55000000000000004">
      <c r="B91" s="157" t="s">
        <v>70</v>
      </c>
      <c r="C91" s="61">
        <v>0.3</v>
      </c>
      <c r="D91" s="60"/>
    </row>
    <row r="92" spans="2:11" x14ac:dyDescent="0.55000000000000004">
      <c r="B92" s="159" t="s">
        <v>75</v>
      </c>
      <c r="C92" s="160">
        <f>C90*(1-C91)</f>
        <v>393.40771082786256</v>
      </c>
      <c r="D92" s="38"/>
      <c r="E92" s="29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2023-12-03T03:52:29Z</dcterms:created>
  <dcterms:modified xsi:type="dcterms:W3CDTF">2023-12-03T03:58:12Z</dcterms:modified>
</cp:coreProperties>
</file>